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hidePivotFieldList="1"/>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09 (Cristina Lin)/"/>
    </mc:Choice>
  </mc:AlternateContent>
  <xr:revisionPtr revIDLastSave="9098" documentId="6_{4FF6F531-2421-0640-BB0F-D333CA8EDFCA}" xr6:coauthVersionLast="47" xr6:coauthVersionMax="47" xr10:uidLastSave="{8427DE84-6A13-486E-ADBF-8AE0C3BD7195}"/>
  <bookViews>
    <workbookView xWindow="-120" yWindow="-120" windowWidth="29040" windowHeight="16440" tabRatio="777" firstSheet="5" xr2:uid="{00000000-000D-0000-FFFF-FFFF00000000}"/>
  </bookViews>
  <sheets>
    <sheet name="Summary" sheetId="19" r:id="rId1"/>
    <sheet name="Industry" sheetId="3" r:id="rId2"/>
    <sheet name="Segments" sheetId="4" r:id="rId3"/>
    <sheet name="Peers" sheetId="17" r:id="rId4"/>
    <sheet name="ESG" sheetId="2" r:id="rId5"/>
    <sheet name="DCF" sheetId="8" r:id="rId6"/>
    <sheet name="Inputs" sheetId="9" r:id="rId7"/>
    <sheet name="WACC" sheetId="6" r:id="rId8"/>
    <sheet name="Multiples" sheetId="11" r:id="rId9"/>
    <sheet name="Sensitivity" sheetId="27" r:id="rId10"/>
    <sheet name="IS" sheetId="30" r:id="rId11"/>
    <sheet name="BS" sheetId="29" r:id="rId12"/>
    <sheet name="CF" sheetId="31" r:id="rId13"/>
    <sheet name="SEG" sheetId="32" r:id="rId14"/>
    <sheet name="DDIS" sheetId="33" r:id="rId15"/>
    <sheet name="BOARD" sheetId="34" r:id="rId16"/>
    <sheet name="IESG" sheetId="35" r:id="rId17"/>
    <sheet name="IPEERS" sheetId="36" r:id="rId18"/>
    <sheet name="STOCK" sheetId="37" r:id="rId19"/>
    <sheet name="SPLC" sheetId="38" r:id="rId20"/>
  </sheets>
  <definedNames>
    <definedName name="_xlchart.v1.0" hidden="1">Sensitivity!$B$56:$B$10055</definedName>
    <definedName name="_xlchart.v1.1" hidden="1">Sensitivity!$B$57:$B$10055</definedName>
    <definedName name="COOLFUCNTION" comment="No description available" localSheetId="5">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6">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5" hidden="1">{"'Sheet1'!$A$1:$H$145"}</definedName>
    <definedName name="HTML_Control" localSheetId="4" hidden="1">{"'Sheet1'!$A$1:$H$145"}</definedName>
    <definedName name="HTML_Control" localSheetId="1" hidden="1">{"'Sheet1'!$A$1:$H$145"}</definedName>
    <definedName name="HTML_Control" localSheetId="6" hidden="1">{"'Sheet1'!$A$1:$H$145"}</definedName>
    <definedName name="HTML_Control" localSheetId="8" hidden="1">{"'Sheet1'!$A$1:$H$145"}</definedName>
    <definedName name="HTML_Control" localSheetId="3" hidden="1">{"'Sheet1'!$A$1:$H$145"}</definedName>
    <definedName name="HTML_Control" localSheetId="2"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4">#REF!</definedName>
    <definedName name="Sectors" localSheetId="3">#REF!</definedName>
    <definedName name="Sectors">#REF!</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1" i="17" l="1"/>
  <c r="E105" i="17"/>
  <c r="H22" i="8"/>
  <c r="H17" i="8"/>
  <c r="F18" i="8"/>
  <c r="BQ22" i="8" l="1"/>
  <c r="G133" i="8"/>
  <c r="E158" i="8"/>
  <c r="U9" i="19" a="1"/>
  <c r="U9" i="19" s="1"/>
  <c r="Z209" i="8" a="1"/>
  <c r="Z209" i="8" s="1"/>
  <c r="F6" i="37"/>
  <c r="F7" i="37"/>
  <c r="F8" i="37"/>
  <c r="F9" i="37"/>
  <c r="F10" i="37"/>
  <c r="F11" i="37"/>
  <c r="F12" i="37"/>
  <c r="F13" i="37"/>
  <c r="F14" i="37"/>
  <c r="F15" i="37"/>
  <c r="F16" i="37"/>
  <c r="F17" i="37"/>
  <c r="F18" i="37"/>
  <c r="F19" i="37"/>
  <c r="F20" i="37"/>
  <c r="F21" i="37"/>
  <c r="F22" i="37"/>
  <c r="F23" i="37"/>
  <c r="F24" i="37"/>
  <c r="F25" i="37"/>
  <c r="F26" i="37"/>
  <c r="F27" i="37"/>
  <c r="F28" i="37"/>
  <c r="F29" i="37"/>
  <c r="F30" i="37"/>
  <c r="F31" i="37"/>
  <c r="F32" i="37"/>
  <c r="F33" i="37"/>
  <c r="F34" i="37"/>
  <c r="F35" i="37"/>
  <c r="F36" i="37"/>
  <c r="F37" i="37"/>
  <c r="F38" i="37"/>
  <c r="F39" i="37"/>
  <c r="F40" i="37"/>
  <c r="F41" i="37"/>
  <c r="F42" i="37"/>
  <c r="F43" i="37"/>
  <c r="F44" i="37"/>
  <c r="F45" i="37"/>
  <c r="F46" i="37"/>
  <c r="F47" i="37"/>
  <c r="F48" i="37"/>
  <c r="F49" i="37"/>
  <c r="F50" i="37"/>
  <c r="F51" i="37"/>
  <c r="F52" i="37"/>
  <c r="F53" i="37"/>
  <c r="F54" i="37"/>
  <c r="F55" i="37"/>
  <c r="F56" i="37"/>
  <c r="F57" i="37"/>
  <c r="F58" i="37"/>
  <c r="F59" i="37"/>
  <c r="F60" i="37"/>
  <c r="F61" i="37"/>
  <c r="F62" i="37"/>
  <c r="F63" i="37"/>
  <c r="F64" i="37"/>
  <c r="F65" i="37"/>
  <c r="F66" i="37"/>
  <c r="F67" i="37"/>
  <c r="F68" i="37"/>
  <c r="F69" i="37"/>
  <c r="F70" i="37"/>
  <c r="F71" i="37"/>
  <c r="F72" i="37"/>
  <c r="F73" i="37"/>
  <c r="F74" i="37"/>
  <c r="F75" i="37"/>
  <c r="F76" i="37"/>
  <c r="F77" i="37"/>
  <c r="F78" i="37"/>
  <c r="F79" i="37"/>
  <c r="F80" i="37"/>
  <c r="F81" i="37"/>
  <c r="F82" i="37"/>
  <c r="F83" i="37"/>
  <c r="F84" i="37"/>
  <c r="F85" i="37"/>
  <c r="F86" i="37"/>
  <c r="F87" i="37"/>
  <c r="F88" i="37"/>
  <c r="F89" i="37"/>
  <c r="F90" i="37"/>
  <c r="F91" i="37"/>
  <c r="F92" i="37"/>
  <c r="F93" i="37"/>
  <c r="F94" i="37"/>
  <c r="F95" i="37"/>
  <c r="F96" i="37"/>
  <c r="F97" i="37"/>
  <c r="F98" i="37"/>
  <c r="F99" i="37"/>
  <c r="F100" i="37"/>
  <c r="F101" i="37"/>
  <c r="F102" i="37"/>
  <c r="F103" i="37"/>
  <c r="F104" i="37"/>
  <c r="F105" i="37"/>
  <c r="F106" i="37"/>
  <c r="F107" i="37"/>
  <c r="F108" i="37"/>
  <c r="F109" i="37"/>
  <c r="F110" i="37"/>
  <c r="F111" i="37"/>
  <c r="F112" i="37"/>
  <c r="F113" i="37"/>
  <c r="F114" i="37"/>
  <c r="F115" i="37"/>
  <c r="F116" i="37"/>
  <c r="F117" i="37"/>
  <c r="F118" i="37"/>
  <c r="F119" i="37"/>
  <c r="F120" i="37"/>
  <c r="F121" i="37"/>
  <c r="F122" i="37"/>
  <c r="F123" i="37"/>
  <c r="F124" i="37"/>
  <c r="F125" i="37"/>
  <c r="F126" i="37"/>
  <c r="F127" i="37"/>
  <c r="F128" i="37"/>
  <c r="F129" i="37"/>
  <c r="F130" i="37"/>
  <c r="F131" i="37"/>
  <c r="F132" i="37"/>
  <c r="F133" i="37"/>
  <c r="F134" i="37"/>
  <c r="F135" i="37"/>
  <c r="F136" i="37"/>
  <c r="F137" i="37"/>
  <c r="F138" i="37"/>
  <c r="F139" i="37"/>
  <c r="F140" i="37"/>
  <c r="F141" i="37"/>
  <c r="F142" i="37"/>
  <c r="F143" i="37"/>
  <c r="F144" i="37"/>
  <c r="F145" i="37"/>
  <c r="F146" i="37"/>
  <c r="F147" i="37"/>
  <c r="F148" i="37"/>
  <c r="F149" i="37"/>
  <c r="F150" i="37"/>
  <c r="F151" i="37"/>
  <c r="F152" i="37"/>
  <c r="F153" i="37"/>
  <c r="F154" i="37"/>
  <c r="F155" i="37"/>
  <c r="F156" i="37"/>
  <c r="F157" i="37"/>
  <c r="F158" i="37"/>
  <c r="F159" i="37"/>
  <c r="F160" i="37"/>
  <c r="F161" i="37"/>
  <c r="F162" i="37"/>
  <c r="F163" i="37"/>
  <c r="F164" i="37"/>
  <c r="F165" i="37"/>
  <c r="F166" i="37"/>
  <c r="F167" i="37"/>
  <c r="F168" i="37"/>
  <c r="F169" i="37"/>
  <c r="F170" i="37"/>
  <c r="F171" i="37"/>
  <c r="F172" i="37"/>
  <c r="F173" i="37"/>
  <c r="F174" i="37"/>
  <c r="F175" i="37"/>
  <c r="F176" i="37"/>
  <c r="F177" i="37"/>
  <c r="F178" i="37"/>
  <c r="F179" i="37"/>
  <c r="F180" i="37"/>
  <c r="F181" i="37"/>
  <c r="F182" i="37"/>
  <c r="F183" i="37"/>
  <c r="F184" i="37"/>
  <c r="F185" i="37"/>
  <c r="F186" i="37"/>
  <c r="F187" i="37"/>
  <c r="F188" i="37"/>
  <c r="F189" i="37"/>
  <c r="F190" i="37"/>
  <c r="F191" i="37"/>
  <c r="F192" i="37"/>
  <c r="F193" i="37"/>
  <c r="F194" i="37"/>
  <c r="F195" i="37"/>
  <c r="F196" i="37"/>
  <c r="F197" i="37"/>
  <c r="F198" i="37"/>
  <c r="F199" i="37"/>
  <c r="F200" i="37"/>
  <c r="F201" i="37"/>
  <c r="F202" i="37"/>
  <c r="F203" i="37"/>
  <c r="F204" i="37"/>
  <c r="F205" i="37"/>
  <c r="F206" i="37"/>
  <c r="F207" i="37"/>
  <c r="F208" i="37"/>
  <c r="F209" i="37"/>
  <c r="F210" i="37"/>
  <c r="F211" i="37"/>
  <c r="F212" i="37"/>
  <c r="F213" i="37"/>
  <c r="F214" i="37"/>
  <c r="F215" i="37"/>
  <c r="F216" i="37"/>
  <c r="F217" i="37"/>
  <c r="F218" i="37"/>
  <c r="F219" i="37"/>
  <c r="F220" i="37"/>
  <c r="F221" i="37"/>
  <c r="F222" i="37"/>
  <c r="F223" i="37"/>
  <c r="F224" i="37"/>
  <c r="F225" i="37"/>
  <c r="F226" i="37"/>
  <c r="F227" i="37"/>
  <c r="F228" i="37"/>
  <c r="F229" i="37"/>
  <c r="F230" i="37"/>
  <c r="F231" i="37"/>
  <c r="F232" i="37"/>
  <c r="F233" i="37"/>
  <c r="F234" i="37"/>
  <c r="F235" i="37"/>
  <c r="F236" i="37"/>
  <c r="F237" i="37"/>
  <c r="F238" i="37"/>
  <c r="F239" i="37"/>
  <c r="F240" i="37"/>
  <c r="F241" i="37"/>
  <c r="F242" i="37"/>
  <c r="F243" i="37"/>
  <c r="F244" i="37"/>
  <c r="F245" i="37"/>
  <c r="F246" i="37"/>
  <c r="F247" i="37"/>
  <c r="F248" i="37"/>
  <c r="F249" i="37"/>
  <c r="F250" i="37"/>
  <c r="F251" i="37"/>
  <c r="F252" i="37"/>
  <c r="F253" i="37"/>
  <c r="F254" i="37"/>
  <c r="F255" i="37"/>
  <c r="F256" i="37"/>
  <c r="F257" i="37"/>
  <c r="F258" i="37"/>
  <c r="F259" i="37"/>
  <c r="F260" i="37"/>
  <c r="F261" i="37"/>
  <c r="F262" i="37"/>
  <c r="F263" i="37"/>
  <c r="F264" i="37"/>
  <c r="F265" i="37"/>
  <c r="F266" i="37"/>
  <c r="F267" i="37"/>
  <c r="F268" i="37"/>
  <c r="F269" i="37"/>
  <c r="F270" i="37"/>
  <c r="F271" i="37"/>
  <c r="F272" i="37"/>
  <c r="F273" i="37"/>
  <c r="F274" i="37"/>
  <c r="F275" i="37"/>
  <c r="F276" i="37"/>
  <c r="F277" i="37"/>
  <c r="F278" i="37"/>
  <c r="F279" i="37"/>
  <c r="F280" i="37"/>
  <c r="F281" i="37"/>
  <c r="F282" i="37"/>
  <c r="F283" i="37"/>
  <c r="F284" i="37"/>
  <c r="F285" i="37"/>
  <c r="F286" i="37"/>
  <c r="F287" i="37"/>
  <c r="F288" i="37"/>
  <c r="F289" i="37"/>
  <c r="F290" i="37"/>
  <c r="F291" i="37"/>
  <c r="F292" i="37"/>
  <c r="F293" i="37"/>
  <c r="F294" i="37"/>
  <c r="F295" i="37"/>
  <c r="F296" i="37"/>
  <c r="F297" i="37"/>
  <c r="F298" i="37"/>
  <c r="F299" i="37"/>
  <c r="F300" i="37"/>
  <c r="F301" i="37"/>
  <c r="F302" i="37"/>
  <c r="F303" i="37"/>
  <c r="F304" i="37"/>
  <c r="F305" i="37"/>
  <c r="F306" i="37"/>
  <c r="F307" i="37"/>
  <c r="F308" i="37"/>
  <c r="F309" i="37"/>
  <c r="F310" i="37"/>
  <c r="F311" i="37"/>
  <c r="F312" i="37"/>
  <c r="F313" i="37"/>
  <c r="F314" i="37"/>
  <c r="F315" i="37"/>
  <c r="F316" i="37"/>
  <c r="F317" i="37"/>
  <c r="F318" i="37"/>
  <c r="F319" i="37"/>
  <c r="F320" i="37"/>
  <c r="F321" i="37"/>
  <c r="F322" i="37"/>
  <c r="F323" i="37"/>
  <c r="F324" i="37"/>
  <c r="F325" i="37"/>
  <c r="F326" i="37"/>
  <c r="F327" i="37"/>
  <c r="F328" i="37"/>
  <c r="F329" i="37"/>
  <c r="F330" i="37"/>
  <c r="F331" i="37"/>
  <c r="F332" i="37"/>
  <c r="F333" i="37"/>
  <c r="F334" i="37"/>
  <c r="F335" i="37"/>
  <c r="F336" i="37"/>
  <c r="F337" i="37"/>
  <c r="F338" i="37"/>
  <c r="F339" i="37"/>
  <c r="F340" i="37"/>
  <c r="F341" i="37"/>
  <c r="F342" i="37"/>
  <c r="F343" i="37"/>
  <c r="F344" i="37"/>
  <c r="F345" i="37"/>
  <c r="F346" i="37"/>
  <c r="F347" i="37"/>
  <c r="F348" i="37"/>
  <c r="F349" i="37"/>
  <c r="F350" i="37"/>
  <c r="F351" i="37"/>
  <c r="F352" i="37"/>
  <c r="F353" i="37"/>
  <c r="F354" i="37"/>
  <c r="F355" i="37"/>
  <c r="F356" i="37"/>
  <c r="F357" i="37"/>
  <c r="F358" i="37"/>
  <c r="F359" i="37"/>
  <c r="F360" i="37"/>
  <c r="F361" i="37"/>
  <c r="F362" i="37"/>
  <c r="F363" i="37"/>
  <c r="F364" i="37"/>
  <c r="F365" i="37"/>
  <c r="F366" i="37"/>
  <c r="F367" i="37"/>
  <c r="F368" i="37"/>
  <c r="F369" i="37"/>
  <c r="F370" i="37"/>
  <c r="F371" i="37"/>
  <c r="F372" i="37"/>
  <c r="F373" i="37"/>
  <c r="F374" i="37"/>
  <c r="F375" i="37"/>
  <c r="F376" i="37"/>
  <c r="F377" i="37"/>
  <c r="F378" i="37"/>
  <c r="F379" i="37"/>
  <c r="F380" i="37"/>
  <c r="F381" i="37"/>
  <c r="F382" i="37"/>
  <c r="F383" i="37"/>
  <c r="F384" i="37"/>
  <c r="F385" i="37"/>
  <c r="F386" i="37"/>
  <c r="F387" i="37"/>
  <c r="F388" i="37"/>
  <c r="F389" i="37"/>
  <c r="F390" i="37"/>
  <c r="F391" i="37"/>
  <c r="F392" i="37"/>
  <c r="F393" i="37"/>
  <c r="F394" i="37"/>
  <c r="F395" i="37"/>
  <c r="F396" i="37"/>
  <c r="F397" i="37"/>
  <c r="F398" i="37"/>
  <c r="F399" i="37"/>
  <c r="F400" i="37"/>
  <c r="F401" i="37"/>
  <c r="F402" i="37"/>
  <c r="F403" i="37"/>
  <c r="F404" i="37"/>
  <c r="F405" i="37"/>
  <c r="F406" i="37"/>
  <c r="F407" i="37"/>
  <c r="F408" i="37"/>
  <c r="F409" i="37"/>
  <c r="F410" i="37"/>
  <c r="F411" i="37"/>
  <c r="F412" i="37"/>
  <c r="F413" i="37"/>
  <c r="F414" i="37"/>
  <c r="F415" i="37"/>
  <c r="F416" i="37"/>
  <c r="F417" i="37"/>
  <c r="F418" i="37"/>
  <c r="F419" i="37"/>
  <c r="F420" i="37"/>
  <c r="F421" i="37"/>
  <c r="F422" i="37"/>
  <c r="F423" i="37"/>
  <c r="F424" i="37"/>
  <c r="F425" i="37"/>
  <c r="F426" i="37"/>
  <c r="F427" i="37"/>
  <c r="F428" i="37"/>
  <c r="F429" i="37"/>
  <c r="F430" i="37"/>
  <c r="F431" i="37"/>
  <c r="F432" i="37"/>
  <c r="F433" i="37"/>
  <c r="F434" i="37"/>
  <c r="F435" i="37"/>
  <c r="F436" i="37"/>
  <c r="F437" i="37"/>
  <c r="F438" i="37"/>
  <c r="F439" i="37"/>
  <c r="F440" i="37"/>
  <c r="F441" i="37"/>
  <c r="F442" i="37"/>
  <c r="F443" i="37"/>
  <c r="F444" i="37"/>
  <c r="F445" i="37"/>
  <c r="F446" i="37"/>
  <c r="F447" i="37"/>
  <c r="F448" i="37"/>
  <c r="F449" i="37"/>
  <c r="F450" i="37"/>
  <c r="F451" i="37"/>
  <c r="F452" i="37"/>
  <c r="F453" i="37"/>
  <c r="F454" i="37"/>
  <c r="F455" i="37"/>
  <c r="F456" i="37"/>
  <c r="F457" i="37"/>
  <c r="F458" i="37"/>
  <c r="F459" i="37"/>
  <c r="F460" i="37"/>
  <c r="F461" i="37"/>
  <c r="F462" i="37"/>
  <c r="F463" i="37"/>
  <c r="F464" i="37"/>
  <c r="F465" i="37"/>
  <c r="F466" i="37"/>
  <c r="F467" i="37"/>
  <c r="F468" i="37"/>
  <c r="F469" i="37"/>
  <c r="F470" i="37"/>
  <c r="F471" i="37"/>
  <c r="F472" i="37"/>
  <c r="F473" i="37"/>
  <c r="F474" i="37"/>
  <c r="F475" i="37"/>
  <c r="F476" i="37"/>
  <c r="F477" i="37"/>
  <c r="F478" i="37"/>
  <c r="F479" i="37"/>
  <c r="F480" i="37"/>
  <c r="F481" i="37"/>
  <c r="F482" i="37"/>
  <c r="F483" i="37"/>
  <c r="F484" i="37"/>
  <c r="F485" i="37"/>
  <c r="F486" i="37"/>
  <c r="F487" i="37"/>
  <c r="F488" i="37"/>
  <c r="F489" i="37"/>
  <c r="F490" i="37"/>
  <c r="F491" i="37"/>
  <c r="F492" i="37"/>
  <c r="F493" i="37"/>
  <c r="F494" i="37"/>
  <c r="F495" i="37"/>
  <c r="F496" i="37"/>
  <c r="F497" i="37"/>
  <c r="F498" i="37"/>
  <c r="F499" i="37"/>
  <c r="F500" i="37"/>
  <c r="F501" i="37"/>
  <c r="F502" i="37"/>
  <c r="F503" i="37"/>
  <c r="F504" i="37"/>
  <c r="F505" i="37"/>
  <c r="F506" i="37"/>
  <c r="F507" i="37"/>
  <c r="F508" i="37"/>
  <c r="F509" i="37"/>
  <c r="F510" i="37"/>
  <c r="F511" i="37"/>
  <c r="F512" i="37"/>
  <c r="F513" i="37"/>
  <c r="F514" i="37"/>
  <c r="F515" i="37"/>
  <c r="F516" i="37"/>
  <c r="F517" i="37"/>
  <c r="F518" i="37"/>
  <c r="F519" i="37"/>
  <c r="F520" i="37"/>
  <c r="F521" i="37"/>
  <c r="F522" i="37"/>
  <c r="F523" i="37"/>
  <c r="F524" i="37"/>
  <c r="F525" i="37"/>
  <c r="F526" i="37"/>
  <c r="F527" i="37"/>
  <c r="F528" i="37"/>
  <c r="F529" i="37"/>
  <c r="F530" i="37"/>
  <c r="F531" i="37"/>
  <c r="F532" i="37"/>
  <c r="F533" i="37"/>
  <c r="F534" i="37"/>
  <c r="F535" i="37"/>
  <c r="F536" i="37"/>
  <c r="F537" i="37"/>
  <c r="F538" i="37"/>
  <c r="F539" i="37"/>
  <c r="F540" i="37"/>
  <c r="F541" i="37"/>
  <c r="F542" i="37"/>
  <c r="F543" i="37"/>
  <c r="F544" i="37"/>
  <c r="F545" i="37"/>
  <c r="F546" i="37"/>
  <c r="F547" i="37"/>
  <c r="F548" i="37"/>
  <c r="F549" i="37"/>
  <c r="F550" i="37"/>
  <c r="F551" i="37"/>
  <c r="F552" i="37"/>
  <c r="F553" i="37"/>
  <c r="F554" i="37"/>
  <c r="F555" i="37"/>
  <c r="F556" i="37"/>
  <c r="F557" i="37"/>
  <c r="F558" i="37"/>
  <c r="F559" i="37"/>
  <c r="F560" i="37"/>
  <c r="F561" i="37"/>
  <c r="F562" i="37"/>
  <c r="F563" i="37"/>
  <c r="F564" i="37"/>
  <c r="F565" i="37"/>
  <c r="F566" i="37"/>
  <c r="F567" i="37"/>
  <c r="F568" i="37"/>
  <c r="F569" i="37"/>
  <c r="F570" i="37"/>
  <c r="F571" i="37"/>
  <c r="F572" i="37"/>
  <c r="F573" i="37"/>
  <c r="F574" i="37"/>
  <c r="F575" i="37"/>
  <c r="F576" i="37"/>
  <c r="F577" i="37"/>
  <c r="F578" i="37"/>
  <c r="F579" i="37"/>
  <c r="F580" i="37"/>
  <c r="F581" i="37"/>
  <c r="F582" i="37"/>
  <c r="F583" i="37"/>
  <c r="F584" i="37"/>
  <c r="F585" i="37"/>
  <c r="F586" i="37"/>
  <c r="F587" i="37"/>
  <c r="F588" i="37"/>
  <c r="F589" i="37"/>
  <c r="F590" i="37"/>
  <c r="F591" i="37"/>
  <c r="F592" i="37"/>
  <c r="F593" i="37"/>
  <c r="F594" i="37"/>
  <c r="F595" i="37"/>
  <c r="F596" i="37"/>
  <c r="F597" i="37"/>
  <c r="F598" i="37"/>
  <c r="F599" i="37"/>
  <c r="F600" i="37"/>
  <c r="F601" i="37"/>
  <c r="F602" i="37"/>
  <c r="F603" i="37"/>
  <c r="F604" i="37"/>
  <c r="F605" i="37"/>
  <c r="F606" i="37"/>
  <c r="F607" i="37"/>
  <c r="F608" i="37"/>
  <c r="F609" i="37"/>
  <c r="F610" i="37"/>
  <c r="F611" i="37"/>
  <c r="F612" i="37"/>
  <c r="F613" i="37"/>
  <c r="F614" i="37"/>
  <c r="F615" i="37"/>
  <c r="F616" i="37"/>
  <c r="F617" i="37"/>
  <c r="F618" i="37"/>
  <c r="F619" i="37"/>
  <c r="F620" i="37"/>
  <c r="F621" i="37"/>
  <c r="F622" i="37"/>
  <c r="F623" i="37"/>
  <c r="F624" i="37"/>
  <c r="F625" i="37"/>
  <c r="F626" i="37"/>
  <c r="F627" i="37"/>
  <c r="F628" i="37"/>
  <c r="F629" i="37"/>
  <c r="F630" i="37"/>
  <c r="F631" i="37"/>
  <c r="F632" i="37"/>
  <c r="F633" i="37"/>
  <c r="F634" i="37"/>
  <c r="F635" i="37"/>
  <c r="F636" i="37"/>
  <c r="F637" i="37"/>
  <c r="F638" i="37"/>
  <c r="F639" i="37"/>
  <c r="F640" i="37"/>
  <c r="F641" i="37"/>
  <c r="F642" i="37"/>
  <c r="F643" i="37"/>
  <c r="F644" i="37"/>
  <c r="F645" i="37"/>
  <c r="F646" i="37"/>
  <c r="F647" i="37"/>
  <c r="F648" i="37"/>
  <c r="F649" i="37"/>
  <c r="F650" i="37"/>
  <c r="F651" i="37"/>
  <c r="F652" i="37"/>
  <c r="F653" i="37"/>
  <c r="F654" i="37"/>
  <c r="F655" i="37"/>
  <c r="F656" i="37"/>
  <c r="F657" i="37"/>
  <c r="F658" i="37"/>
  <c r="F659" i="37"/>
  <c r="F660" i="37"/>
  <c r="F661" i="37"/>
  <c r="F662" i="37"/>
  <c r="F663" i="37"/>
  <c r="F664" i="37"/>
  <c r="F665" i="37"/>
  <c r="F666" i="37"/>
  <c r="F667" i="37"/>
  <c r="F668" i="37"/>
  <c r="F669" i="37"/>
  <c r="F670" i="37"/>
  <c r="F671" i="37"/>
  <c r="F672" i="37"/>
  <c r="F673" i="37"/>
  <c r="F674" i="37"/>
  <c r="F675" i="37"/>
  <c r="F676" i="37"/>
  <c r="F677" i="37"/>
  <c r="F678" i="37"/>
  <c r="F679" i="37"/>
  <c r="F680" i="37"/>
  <c r="F681" i="37"/>
  <c r="F682" i="37"/>
  <c r="F683" i="37"/>
  <c r="F684" i="37"/>
  <c r="F685" i="37"/>
  <c r="F686" i="37"/>
  <c r="F687" i="37"/>
  <c r="F688" i="37"/>
  <c r="F689" i="37"/>
  <c r="F690" i="37"/>
  <c r="F691" i="37"/>
  <c r="F692" i="37"/>
  <c r="F693" i="37"/>
  <c r="F694" i="37"/>
  <c r="F695" i="37"/>
  <c r="F696" i="37"/>
  <c r="F697" i="37"/>
  <c r="F698" i="37"/>
  <c r="F699" i="37"/>
  <c r="F700" i="37"/>
  <c r="F701" i="37"/>
  <c r="F702" i="37"/>
  <c r="F703" i="37"/>
  <c r="F704" i="37"/>
  <c r="F705" i="37"/>
  <c r="F706" i="37"/>
  <c r="F707" i="37"/>
  <c r="F708" i="37"/>
  <c r="F709" i="37"/>
  <c r="F710" i="37"/>
  <c r="F711" i="37"/>
  <c r="F712" i="37"/>
  <c r="F713" i="37"/>
  <c r="F714" i="37"/>
  <c r="F715" i="37"/>
  <c r="F716" i="37"/>
  <c r="F717" i="37"/>
  <c r="F718" i="37"/>
  <c r="F719" i="37"/>
  <c r="F720" i="37"/>
  <c r="F721" i="37"/>
  <c r="F722" i="37"/>
  <c r="F723" i="37"/>
  <c r="F724" i="37"/>
  <c r="F725" i="37"/>
  <c r="F726" i="37"/>
  <c r="F727" i="37"/>
  <c r="F728" i="37"/>
  <c r="F729" i="37"/>
  <c r="F730" i="37"/>
  <c r="F731" i="37"/>
  <c r="F732" i="37"/>
  <c r="F733" i="37"/>
  <c r="F734" i="37"/>
  <c r="F735" i="37"/>
  <c r="F736" i="37"/>
  <c r="F737" i="37"/>
  <c r="F738" i="37"/>
  <c r="F739" i="37"/>
  <c r="F740" i="37"/>
  <c r="F741" i="37"/>
  <c r="F742" i="37"/>
  <c r="F743" i="37"/>
  <c r="F744" i="37"/>
  <c r="F745" i="37"/>
  <c r="F746" i="37"/>
  <c r="F747" i="37"/>
  <c r="F748" i="37"/>
  <c r="F749" i="37"/>
  <c r="F750" i="37"/>
  <c r="F751" i="37"/>
  <c r="F752" i="37"/>
  <c r="F753" i="37"/>
  <c r="F754" i="37"/>
  <c r="F755" i="37"/>
  <c r="F756" i="37"/>
  <c r="F757" i="37"/>
  <c r="F758" i="37"/>
  <c r="F759" i="37"/>
  <c r="F760" i="37"/>
  <c r="F761" i="37"/>
  <c r="F762" i="37"/>
  <c r="F763" i="37"/>
  <c r="F764" i="37"/>
  <c r="F765" i="37"/>
  <c r="F766" i="37"/>
  <c r="F767" i="37"/>
  <c r="F768" i="37"/>
  <c r="F769" i="37"/>
  <c r="F770" i="37"/>
  <c r="F771" i="37"/>
  <c r="F5" i="37"/>
  <c r="G33" i="3"/>
  <c r="G11" i="6"/>
  <c r="D12" i="4"/>
  <c r="D132" i="17"/>
  <c r="E135" i="8"/>
  <c r="E37" i="3"/>
  <c r="U15" i="19"/>
  <c r="K13" i="27"/>
  <c r="F6" i="27"/>
  <c r="H6" i="27"/>
  <c r="G99" i="9"/>
  <c r="H99" i="9"/>
  <c r="I99" i="9"/>
  <c r="J99" i="9"/>
  <c r="K99" i="9"/>
  <c r="L99" i="9"/>
  <c r="M99" i="9"/>
  <c r="N99" i="9"/>
  <c r="O99" i="9"/>
  <c r="P99" i="9"/>
  <c r="Q99" i="9"/>
  <c r="G100" i="9"/>
  <c r="H100" i="9"/>
  <c r="I100" i="9"/>
  <c r="J100" i="9"/>
  <c r="K100" i="9"/>
  <c r="L100" i="9"/>
  <c r="M100" i="9"/>
  <c r="N100" i="9"/>
  <c r="O100" i="9"/>
  <c r="P100" i="9"/>
  <c r="Q100" i="9"/>
  <c r="G102" i="9"/>
  <c r="H102" i="9"/>
  <c r="I102" i="9"/>
  <c r="J102" i="9"/>
  <c r="K102" i="9"/>
  <c r="L102" i="9"/>
  <c r="M102" i="9"/>
  <c r="N102" i="9"/>
  <c r="O102" i="9"/>
  <c r="P102" i="9"/>
  <c r="Q102" i="9"/>
  <c r="G103" i="17"/>
  <c r="F103" i="17"/>
  <c r="E103" i="17"/>
  <c r="G105" i="17"/>
  <c r="F105" i="17"/>
  <c r="G101" i="17"/>
  <c r="F101" i="17"/>
  <c r="E101" i="17"/>
  <c r="H99" i="17"/>
  <c r="I99" i="17"/>
  <c r="J99" i="17"/>
  <c r="K99" i="17"/>
  <c r="G121" i="17"/>
  <c r="H98" i="9" a="1"/>
  <c r="M98" i="9" a="1"/>
  <c r="J98" i="9" a="1"/>
  <c r="Q98" i="9" a="1"/>
  <c r="L98" i="9" a="1"/>
  <c r="G98" i="9" a="1"/>
  <c r="K98" i="9" a="1"/>
  <c r="P98" i="9" a="1"/>
  <c r="M98" i="9" l="1"/>
  <c r="G98" i="9"/>
  <c r="H98" i="9"/>
  <c r="L98" i="9"/>
  <c r="P98" i="9"/>
  <c r="J98" i="9"/>
  <c r="K98" i="9"/>
  <c r="Q98" i="9"/>
  <c r="G73" i="17"/>
  <c r="F73" i="17"/>
  <c r="E73" i="17"/>
  <c r="D73" i="17"/>
  <c r="L29" i="11"/>
  <c r="L21" i="11"/>
  <c r="R19" i="9"/>
  <c r="V14" i="9"/>
  <c r="W14" i="9"/>
  <c r="X14" i="9"/>
  <c r="Y14" i="9"/>
  <c r="Z14" i="9"/>
  <c r="AA14" i="9"/>
  <c r="AB14" i="9"/>
  <c r="U14" i="9"/>
  <c r="V12" i="9"/>
  <c r="U12" i="9"/>
  <c r="X21" i="9"/>
  <c r="Y21" i="9"/>
  <c r="T21" i="9"/>
  <c r="H63" i="8"/>
  <c r="U21" i="9"/>
  <c r="V21" i="9"/>
  <c r="W21" i="9"/>
  <c r="V20" i="9"/>
  <c r="W20" i="9" s="1"/>
  <c r="X20" i="9" s="1"/>
  <c r="U20" i="9"/>
  <c r="I98" i="9" a="1"/>
  <c r="I98" i="9" l="1"/>
  <c r="E52" i="17"/>
  <c r="E57" i="17" s="1"/>
  <c r="O98" i="9" a="1"/>
  <c r="N98" i="9" a="1"/>
  <c r="N98" i="9" l="1"/>
  <c r="N103" i="9" s="1"/>
  <c r="O98" i="9"/>
  <c r="E121" i="17"/>
  <c r="E36" i="17" s="1"/>
  <c r="F66" i="17"/>
  <c r="F67" i="17"/>
  <c r="E32" i="17"/>
  <c r="E33" i="17"/>
  <c r="E35" i="17"/>
  <c r="E63" i="17"/>
  <c r="A8" i="17"/>
  <c r="P79" i="9"/>
  <c r="R113" i="9"/>
  <c r="R114" i="9"/>
  <c r="R115" i="9"/>
  <c r="R116" i="9"/>
  <c r="R117" i="9"/>
  <c r="R118" i="9"/>
  <c r="R119" i="9"/>
  <c r="R120" i="9"/>
  <c r="R110" i="9"/>
  <c r="R112" i="9"/>
  <c r="R94" i="9"/>
  <c r="R93" i="9"/>
  <c r="R92" i="9"/>
  <c r="R91" i="9"/>
  <c r="R90" i="9"/>
  <c r="R79" i="9"/>
  <c r="R85" i="9"/>
  <c r="R77" i="9"/>
  <c r="R78" i="9"/>
  <c r="R80" i="9"/>
  <c r="R81" i="9"/>
  <c r="R82" i="9"/>
  <c r="R83" i="9"/>
  <c r="R84" i="9"/>
  <c r="R76" i="9"/>
  <c r="R75" i="9"/>
  <c r="R67" i="9"/>
  <c r="R68" i="9"/>
  <c r="R69" i="9"/>
  <c r="R70" i="9"/>
  <c r="R71" i="9"/>
  <c r="R72" i="9"/>
  <c r="R73" i="9"/>
  <c r="R74" i="9"/>
  <c r="R64" i="9"/>
  <c r="R66" i="9"/>
  <c r="R61" i="9"/>
  <c r="R60" i="9"/>
  <c r="R59" i="9"/>
  <c r="R55" i="9"/>
  <c r="R56" i="9"/>
  <c r="R57" i="9"/>
  <c r="R58" i="9"/>
  <c r="R54" i="9"/>
  <c r="R53" i="9"/>
  <c r="R51" i="9"/>
  <c r="R52" i="9"/>
  <c r="R50" i="9"/>
  <c r="R49" i="9"/>
  <c r="R48" i="9"/>
  <c r="R47" i="9"/>
  <c r="R46" i="9"/>
  <c r="R45" i="9"/>
  <c r="R44" i="9"/>
  <c r="R40" i="9"/>
  <c r="R41" i="9"/>
  <c r="R42" i="9"/>
  <c r="R43" i="9"/>
  <c r="R34" i="9"/>
  <c r="R39" i="9"/>
  <c r="R30" i="9"/>
  <c r="R4" i="9"/>
  <c r="R38" i="9"/>
  <c r="R37" i="9"/>
  <c r="R35" i="9"/>
  <c r="R33" i="9"/>
  <c r="R32" i="9"/>
  <c r="M21" i="9"/>
  <c r="M13" i="9"/>
  <c r="M28" i="9"/>
  <c r="M27" i="9"/>
  <c r="M26" i="9"/>
  <c r="M25" i="9"/>
  <c r="M23" i="9"/>
  <c r="M14" i="9"/>
  <c r="M11" i="9"/>
  <c r="M10" i="9"/>
  <c r="M9" i="9"/>
  <c r="M6" i="9"/>
  <c r="M7" i="9"/>
  <c r="R36" i="9"/>
  <c r="R6" i="9"/>
  <c r="R7" i="9"/>
  <c r="R8" i="9"/>
  <c r="R9" i="9"/>
  <c r="R10" i="9"/>
  <c r="R11" i="9"/>
  <c r="R12" i="9"/>
  <c r="R13" i="9"/>
  <c r="R14" i="9"/>
  <c r="R15" i="9"/>
  <c r="R16" i="9"/>
  <c r="R17" i="9"/>
  <c r="R18" i="9"/>
  <c r="R20" i="9"/>
  <c r="R21" i="9"/>
  <c r="R22" i="9"/>
  <c r="R23" i="9"/>
  <c r="R24" i="9"/>
  <c r="R25" i="9"/>
  <c r="R26" i="9"/>
  <c r="R27" i="9"/>
  <c r="R28" i="9"/>
  <c r="M12" i="4"/>
  <c r="I22" i="8"/>
  <c r="J22" i="8"/>
  <c r="K22" i="8"/>
  <c r="L22" i="8"/>
  <c r="M22" i="8"/>
  <c r="N22" i="8"/>
  <c r="O22" i="8"/>
  <c r="P22" i="8"/>
  <c r="Q22" i="8"/>
  <c r="R22" i="8"/>
  <c r="S22" i="8"/>
  <c r="T22" i="8"/>
  <c r="U22" i="8"/>
  <c r="V22" i="8"/>
  <c r="W22" i="8"/>
  <c r="X22" i="8"/>
  <c r="Y22" i="8"/>
  <c r="Z22" i="8"/>
  <c r="H19" i="8"/>
  <c r="I19" i="8" s="1"/>
  <c r="J19" i="8" s="1"/>
  <c r="K19" i="8" s="1"/>
  <c r="L19" i="8" s="1"/>
  <c r="M19" i="8" s="1"/>
  <c r="N19" i="8" s="1"/>
  <c r="O19" i="8" s="1"/>
  <c r="P19" i="8" s="1"/>
  <c r="Q19" i="8" s="1"/>
  <c r="G18" i="8"/>
  <c r="Q63" i="8"/>
  <c r="R63" i="8"/>
  <c r="S63" i="8"/>
  <c r="T63" i="8"/>
  <c r="U63" i="8"/>
  <c r="V63" i="8"/>
  <c r="W63" i="8"/>
  <c r="X63" i="8"/>
  <c r="Y63" i="8"/>
  <c r="Z63" i="8"/>
  <c r="M68" i="9"/>
  <c r="M50" i="9"/>
  <c r="N32" i="9"/>
  <c r="F14" i="4"/>
  <c r="E8" i="4"/>
  <c r="F8" i="4"/>
  <c r="L7" i="4"/>
  <c r="L6" i="4"/>
  <c r="L9" i="27"/>
  <c r="K9" i="27"/>
  <c r="L8" i="27"/>
  <c r="K8" i="27"/>
  <c r="V35" i="19"/>
  <c r="V34" i="19"/>
  <c r="V32" i="19"/>
  <c r="V33" i="19"/>
  <c r="P64" i="11"/>
  <c r="P43" i="19" s="1"/>
  <c r="O64" i="11"/>
  <c r="O43" i="19" s="1"/>
  <c r="N64" i="11"/>
  <c r="N43" i="19" s="1"/>
  <c r="M64" i="11"/>
  <c r="L64" i="11"/>
  <c r="K64" i="11"/>
  <c r="J64" i="11"/>
  <c r="I64" i="11"/>
  <c r="H64" i="11"/>
  <c r="G64" i="11"/>
  <c r="F64" i="11"/>
  <c r="P62" i="11"/>
  <c r="O62" i="11"/>
  <c r="N62" i="11"/>
  <c r="M62" i="11"/>
  <c r="L62" i="11"/>
  <c r="K62" i="11"/>
  <c r="J62" i="11"/>
  <c r="I62" i="11"/>
  <c r="H62" i="11"/>
  <c r="G62" i="11"/>
  <c r="F62" i="11"/>
  <c r="P60" i="11"/>
  <c r="O60" i="11"/>
  <c r="N60" i="11"/>
  <c r="M60" i="11"/>
  <c r="L60" i="11"/>
  <c r="K60" i="11"/>
  <c r="J60" i="11"/>
  <c r="I60" i="11"/>
  <c r="H60" i="11"/>
  <c r="G60" i="11"/>
  <c r="F60" i="11"/>
  <c r="P59" i="11"/>
  <c r="O59" i="11"/>
  <c r="N59" i="11"/>
  <c r="M59" i="11"/>
  <c r="L59" i="11"/>
  <c r="K59" i="11"/>
  <c r="J59" i="11"/>
  <c r="I59" i="11"/>
  <c r="H59" i="11"/>
  <c r="G59" i="11"/>
  <c r="F59" i="11"/>
  <c r="O53" i="11"/>
  <c r="P53" i="11" s="1"/>
  <c r="H53" i="11"/>
  <c r="I53" i="11" s="1"/>
  <c r="J53" i="11" s="1"/>
  <c r="K53" i="11" s="1"/>
  <c r="L53" i="11" s="1"/>
  <c r="M53" i="11" s="1"/>
  <c r="G53" i="11"/>
  <c r="P55" i="11"/>
  <c r="O55" i="11"/>
  <c r="N55" i="11"/>
  <c r="M55" i="11"/>
  <c r="L55" i="11"/>
  <c r="K55" i="11"/>
  <c r="J55" i="11"/>
  <c r="I55" i="11"/>
  <c r="H55" i="11"/>
  <c r="G55" i="11"/>
  <c r="F55" i="11"/>
  <c r="P29" i="11"/>
  <c r="P38" i="19" s="1"/>
  <c r="O29" i="11"/>
  <c r="O38" i="19" s="1"/>
  <c r="N29" i="11"/>
  <c r="N38" i="19" s="1"/>
  <c r="M29" i="11"/>
  <c r="K29" i="11"/>
  <c r="J29" i="11"/>
  <c r="I29" i="11"/>
  <c r="H29" i="11"/>
  <c r="G29" i="11"/>
  <c r="F29" i="11"/>
  <c r="P27" i="11"/>
  <c r="P36" i="19" s="1"/>
  <c r="O27" i="11"/>
  <c r="O36" i="19" s="1"/>
  <c r="N27" i="11"/>
  <c r="N36" i="19" s="1"/>
  <c r="M27" i="11"/>
  <c r="L27" i="11"/>
  <c r="K27" i="11"/>
  <c r="J27" i="11"/>
  <c r="I27" i="11"/>
  <c r="H27" i="11"/>
  <c r="G27" i="11"/>
  <c r="F27" i="11"/>
  <c r="P22" i="11"/>
  <c r="P32" i="19" s="1"/>
  <c r="O22" i="11"/>
  <c r="O32" i="19" s="1"/>
  <c r="N22" i="11"/>
  <c r="N32" i="19" s="1"/>
  <c r="M22" i="11"/>
  <c r="L22" i="11"/>
  <c r="K22" i="11"/>
  <c r="J22" i="11"/>
  <c r="I22" i="11"/>
  <c r="H22" i="11"/>
  <c r="G22" i="11"/>
  <c r="F22" i="11"/>
  <c r="I17" i="17"/>
  <c r="I16" i="17"/>
  <c r="I15" i="17"/>
  <c r="I14" i="17"/>
  <c r="I13" i="17"/>
  <c r="I12" i="17"/>
  <c r="I11" i="17"/>
  <c r="I10" i="17"/>
  <c r="I9" i="17"/>
  <c r="H17" i="17"/>
  <c r="H16" i="17"/>
  <c r="H15" i="17"/>
  <c r="H14" i="17"/>
  <c r="H13" i="17"/>
  <c r="H12" i="17"/>
  <c r="H11" i="17"/>
  <c r="H10" i="17"/>
  <c r="H9" i="17"/>
  <c r="H8" i="17"/>
  <c r="G17" i="17"/>
  <c r="G16" i="17"/>
  <c r="G15" i="17"/>
  <c r="G14" i="17"/>
  <c r="G13" i="17"/>
  <c r="G12" i="17"/>
  <c r="G11" i="17"/>
  <c r="G10" i="17"/>
  <c r="G9" i="17"/>
  <c r="G8" i="17"/>
  <c r="F17" i="17"/>
  <c r="F16" i="17"/>
  <c r="F15" i="17"/>
  <c r="F14" i="17"/>
  <c r="F13" i="17"/>
  <c r="F12" i="17"/>
  <c r="F11" i="17"/>
  <c r="F10" i="17"/>
  <c r="F9" i="17"/>
  <c r="F8" i="17"/>
  <c r="E17" i="17"/>
  <c r="E16" i="17"/>
  <c r="E15" i="17"/>
  <c r="E14" i="17"/>
  <c r="E13" i="17"/>
  <c r="E12" i="17"/>
  <c r="E11" i="17"/>
  <c r="E10" i="17"/>
  <c r="E9" i="17"/>
  <c r="E8" i="17"/>
  <c r="D17" i="17"/>
  <c r="D16" i="17"/>
  <c r="D15" i="17"/>
  <c r="D14" i="17"/>
  <c r="D13" i="17"/>
  <c r="D12" i="17"/>
  <c r="D11" i="17"/>
  <c r="D10" i="17"/>
  <c r="D9" i="17"/>
  <c r="D8" i="17"/>
  <c r="N85" i="17" a="1"/>
  <c r="N85" i="17" s="1"/>
  <c r="M85" i="17" a="1"/>
  <c r="M85" i="17" s="1"/>
  <c r="L85" i="17" a="1"/>
  <c r="L85" i="17" s="1"/>
  <c r="K85" i="17" a="1"/>
  <c r="K85" i="17" s="1"/>
  <c r="J85" i="17" a="1"/>
  <c r="J85" i="17" s="1"/>
  <c r="I85" i="17" a="1"/>
  <c r="I85" i="17" s="1"/>
  <c r="H85" i="17" a="1"/>
  <c r="H85" i="17" s="1"/>
  <c r="G85" i="17" a="1"/>
  <c r="G85" i="17" s="1"/>
  <c r="F85" i="17" a="1"/>
  <c r="F85" i="17" s="1"/>
  <c r="E85" i="17" a="1"/>
  <c r="E85" i="17" s="1"/>
  <c r="N74" i="17" a="1"/>
  <c r="N74" i="17" s="1"/>
  <c r="N75" i="17" s="1"/>
  <c r="M74" i="17" a="1"/>
  <c r="M74" i="17" s="1"/>
  <c r="M75" i="17" s="1"/>
  <c r="L74" i="17" a="1"/>
  <c r="L74" i="17" s="1"/>
  <c r="L75" i="17" s="1"/>
  <c r="K74" i="17" a="1"/>
  <c r="K74" i="17" s="1"/>
  <c r="K75" i="17" s="1"/>
  <c r="G74" i="17" a="1"/>
  <c r="G74" i="17" s="1"/>
  <c r="G75" i="17" s="1"/>
  <c r="F74" i="17" a="1"/>
  <c r="F74" i="17" s="1"/>
  <c r="F75" i="17" s="1"/>
  <c r="E74" i="17" a="1"/>
  <c r="E74" i="17" s="1"/>
  <c r="E75" i="17" s="1"/>
  <c r="E62" i="3"/>
  <c r="E56" i="3"/>
  <c r="E50" i="3"/>
  <c r="E44" i="3"/>
  <c r="D7" i="4"/>
  <c r="Q260" i="8"/>
  <c r="Q261" i="8" s="1"/>
  <c r="P260" i="8"/>
  <c r="P261" i="8" s="1"/>
  <c r="O260" i="8"/>
  <c r="O261" i="8" s="1"/>
  <c r="N260" i="8"/>
  <c r="N261" i="8" s="1"/>
  <c r="M260" i="8"/>
  <c r="M261" i="8" s="1"/>
  <c r="L260" i="8"/>
  <c r="L261" i="8" s="1"/>
  <c r="K260" i="8"/>
  <c r="K261" i="8" s="1"/>
  <c r="J260" i="8"/>
  <c r="J261" i="8" s="1"/>
  <c r="I260" i="8"/>
  <c r="I261" i="8" s="1"/>
  <c r="H260" i="8"/>
  <c r="H261" i="8" s="1"/>
  <c r="Z212" i="8" a="1"/>
  <c r="Z212" i="8" s="1"/>
  <c r="D7" i="27" s="1"/>
  <c r="Q120" i="9"/>
  <c r="P120" i="9"/>
  <c r="O120" i="9"/>
  <c r="N120" i="9"/>
  <c r="M120" i="9"/>
  <c r="L120" i="9"/>
  <c r="K120" i="9"/>
  <c r="J120" i="9"/>
  <c r="I120" i="9"/>
  <c r="H120" i="9"/>
  <c r="G120" i="9"/>
  <c r="Q119" i="9"/>
  <c r="P119" i="9"/>
  <c r="O119" i="9"/>
  <c r="N119" i="9"/>
  <c r="M119" i="9"/>
  <c r="L119" i="9"/>
  <c r="K119" i="9"/>
  <c r="J119" i="9"/>
  <c r="I119" i="9"/>
  <c r="H119" i="9"/>
  <c r="G119" i="9"/>
  <c r="Q118" i="9"/>
  <c r="P118" i="9"/>
  <c r="O118" i="9"/>
  <c r="N118" i="9"/>
  <c r="M118" i="9"/>
  <c r="L118" i="9"/>
  <c r="K118" i="9"/>
  <c r="J118" i="9"/>
  <c r="I118" i="9"/>
  <c r="H118" i="9"/>
  <c r="G118" i="9"/>
  <c r="Q114" i="9"/>
  <c r="P114" i="9"/>
  <c r="O114" i="9"/>
  <c r="N114" i="9"/>
  <c r="M114" i="9"/>
  <c r="L114" i="9"/>
  <c r="K114" i="9"/>
  <c r="J114" i="9"/>
  <c r="I114" i="9"/>
  <c r="H114" i="9"/>
  <c r="G114" i="9"/>
  <c r="Q113" i="9"/>
  <c r="P113" i="9"/>
  <c r="O113" i="9"/>
  <c r="N113" i="9"/>
  <c r="M113" i="9"/>
  <c r="L113" i="9"/>
  <c r="K113" i="9"/>
  <c r="J113" i="9"/>
  <c r="I113" i="9"/>
  <c r="H113" i="9"/>
  <c r="G113" i="9"/>
  <c r="M79" i="9"/>
  <c r="V73" i="19"/>
  <c r="V72" i="19"/>
  <c r="V71" i="19"/>
  <c r="V70" i="19"/>
  <c r="V69" i="19"/>
  <c r="V68" i="19"/>
  <c r="V67" i="19"/>
  <c r="V66" i="19"/>
  <c r="V65" i="19"/>
  <c r="V64" i="19"/>
  <c r="V63" i="19"/>
  <c r="V62" i="19"/>
  <c r="V61" i="19"/>
  <c r="P61" i="11"/>
  <c r="O61" i="11"/>
  <c r="N61" i="11"/>
  <c r="M61" i="11"/>
  <c r="L61" i="11"/>
  <c r="K61" i="11"/>
  <c r="J61" i="11"/>
  <c r="I61" i="11"/>
  <c r="H61" i="11"/>
  <c r="G61" i="11"/>
  <c r="F61" i="11"/>
  <c r="N67" i="17"/>
  <c r="M67" i="17"/>
  <c r="L67" i="17"/>
  <c r="K67" i="17"/>
  <c r="J67" i="17"/>
  <c r="I67" i="17"/>
  <c r="H67" i="17"/>
  <c r="G67" i="17"/>
  <c r="E67" i="17"/>
  <c r="K16" i="27"/>
  <c r="K15" i="27"/>
  <c r="K14" i="27"/>
  <c r="K12" i="27"/>
  <c r="N66" i="17"/>
  <c r="M66" i="17"/>
  <c r="L66" i="17"/>
  <c r="K66" i="17"/>
  <c r="J66" i="17"/>
  <c r="I66" i="17"/>
  <c r="H66" i="17"/>
  <c r="G66" i="17"/>
  <c r="E66" i="17"/>
  <c r="B8" i="17" l="1" a="1"/>
  <c r="B8" i="17" s="1"/>
  <c r="M8" i="17" a="1"/>
  <c r="M8" i="17" s="1"/>
  <c r="L8" i="17" a="1"/>
  <c r="L8" i="17" s="1"/>
  <c r="J8" i="17" a="1"/>
  <c r="J8" i="17" s="1"/>
  <c r="K8" i="17" a="1"/>
  <c r="K8" i="17" s="1"/>
  <c r="O8" i="17" a="1"/>
  <c r="O8" i="17" s="1"/>
  <c r="N8" i="17" a="1"/>
  <c r="N8" i="17" s="1"/>
  <c r="I17" i="8"/>
  <c r="J17" i="8" s="1"/>
  <c r="K17" i="8" s="1"/>
  <c r="L17" i="8" s="1"/>
  <c r="M17" i="8" s="1"/>
  <c r="N17" i="8" s="1"/>
  <c r="H72" i="8"/>
  <c r="H21" i="8"/>
  <c r="C8" i="17" a="1"/>
  <c r="C8" i="17" s="1"/>
  <c r="R19" i="8"/>
  <c r="F19" i="27"/>
  <c r="D17" i="27"/>
  <c r="F10" i="27"/>
  <c r="H8" i="27"/>
  <c r="E7" i="27"/>
  <c r="H11" i="27"/>
  <c r="G8" i="27"/>
  <c r="F8" i="27"/>
  <c r="H9" i="27"/>
  <c r="F9" i="27"/>
  <c r="H7" i="27"/>
  <c r="H10" i="27"/>
  <c r="G7" i="27"/>
  <c r="G10" i="27"/>
  <c r="F7" i="27"/>
  <c r="E19" i="27"/>
  <c r="E10" i="27"/>
  <c r="F18" i="27"/>
  <c r="E8" i="27"/>
  <c r="E18" i="27"/>
  <c r="G9" i="27"/>
  <c r="L14" i="27"/>
  <c r="L13" i="27"/>
  <c r="D19" i="27"/>
  <c r="G11" i="27"/>
  <c r="D10" i="27"/>
  <c r="F11" i="27"/>
  <c r="E11" i="27"/>
  <c r="D8" i="27"/>
  <c r="D18" i="27"/>
  <c r="F17" i="27"/>
  <c r="E9" i="27"/>
  <c r="L12" i="27"/>
  <c r="D11" i="27"/>
  <c r="E17" i="27"/>
  <c r="D9" i="27"/>
  <c r="L15" i="27"/>
  <c r="N63" i="17"/>
  <c r="M63" i="17"/>
  <c r="L63" i="17"/>
  <c r="K63" i="17"/>
  <c r="J63" i="17"/>
  <c r="I63" i="17"/>
  <c r="H63" i="17"/>
  <c r="G63" i="17"/>
  <c r="F63" i="17"/>
  <c r="I105" i="9"/>
  <c r="J105" i="9" s="1"/>
  <c r="K105" i="9" s="1"/>
  <c r="L105" i="9" s="1"/>
  <c r="M105" i="9" s="1"/>
  <c r="N105" i="9" s="1"/>
  <c r="O105" i="9" s="1"/>
  <c r="P105" i="9" s="1"/>
  <c r="Q105" i="9" s="1"/>
  <c r="N65" i="17"/>
  <c r="M65" i="17"/>
  <c r="L65" i="17"/>
  <c r="K65" i="17"/>
  <c r="J65" i="17"/>
  <c r="I65" i="17"/>
  <c r="H65" i="17"/>
  <c r="G65" i="17"/>
  <c r="F65" i="17"/>
  <c r="E65" i="17"/>
  <c r="I21" i="8" l="1"/>
  <c r="J21" i="8"/>
  <c r="S19" i="8"/>
  <c r="AW294" i="8"/>
  <c r="AW284" i="8"/>
  <c r="F64" i="17"/>
  <c r="G64" i="17"/>
  <c r="H64" i="17"/>
  <c r="I64" i="17"/>
  <c r="J64" i="17"/>
  <c r="K64" i="17"/>
  <c r="L64" i="17"/>
  <c r="M64" i="17"/>
  <c r="N64" i="17"/>
  <c r="E68" i="17"/>
  <c r="F68" i="17"/>
  <c r="G68" i="17"/>
  <c r="H68" i="17"/>
  <c r="I68" i="17"/>
  <c r="J68" i="17"/>
  <c r="K68" i="17"/>
  <c r="L68" i="17"/>
  <c r="M68" i="17"/>
  <c r="N68" i="17"/>
  <c r="E64" i="17"/>
  <c r="K21" i="8" l="1"/>
  <c r="T19" i="8"/>
  <c r="H25" i="17"/>
  <c r="N36" i="17"/>
  <c r="M36" i="17"/>
  <c r="L36" i="17"/>
  <c r="K36" i="17"/>
  <c r="J36" i="17"/>
  <c r="I36" i="17"/>
  <c r="H36" i="17"/>
  <c r="G36" i="17"/>
  <c r="F36" i="17"/>
  <c r="N35" i="17"/>
  <c r="M35" i="17"/>
  <c r="L35" i="17"/>
  <c r="K35" i="17"/>
  <c r="J35" i="17"/>
  <c r="I35" i="17"/>
  <c r="H35" i="17"/>
  <c r="G35" i="17"/>
  <c r="F35" i="17"/>
  <c r="N34" i="17"/>
  <c r="M34" i="17"/>
  <c r="L34" i="17"/>
  <c r="K34" i="17"/>
  <c r="J34" i="17"/>
  <c r="I34" i="17"/>
  <c r="H34" i="17"/>
  <c r="G34" i="17"/>
  <c r="F34" i="17"/>
  <c r="E34" i="17"/>
  <c r="N33" i="17"/>
  <c r="M33" i="17"/>
  <c r="L33" i="17"/>
  <c r="K33" i="17"/>
  <c r="J33" i="17"/>
  <c r="I33" i="17"/>
  <c r="H33" i="17"/>
  <c r="G33" i="17"/>
  <c r="F33" i="17"/>
  <c r="N32" i="17"/>
  <c r="M32" i="17"/>
  <c r="L32" i="17"/>
  <c r="K32" i="17"/>
  <c r="J32" i="17"/>
  <c r="I32" i="17"/>
  <c r="H32" i="17"/>
  <c r="G32" i="17"/>
  <c r="F32" i="17"/>
  <c r="N31" i="17"/>
  <c r="M31" i="17"/>
  <c r="L31" i="17"/>
  <c r="K31" i="17"/>
  <c r="J31" i="17"/>
  <c r="I31" i="17"/>
  <c r="H31" i="17"/>
  <c r="G31" i="17"/>
  <c r="F31" i="17"/>
  <c r="E31" i="17"/>
  <c r="N41" i="17"/>
  <c r="M41" i="17"/>
  <c r="L41" i="17"/>
  <c r="K41" i="17"/>
  <c r="J41" i="17"/>
  <c r="I41" i="17"/>
  <c r="H41" i="17"/>
  <c r="G41" i="17"/>
  <c r="F41" i="17"/>
  <c r="E41" i="17"/>
  <c r="N40" i="17"/>
  <c r="M40" i="17"/>
  <c r="L40" i="17"/>
  <c r="K40" i="17"/>
  <c r="J40" i="17"/>
  <c r="I40" i="17"/>
  <c r="H40" i="17"/>
  <c r="G40" i="17"/>
  <c r="F40" i="17"/>
  <c r="E40" i="17"/>
  <c r="N48" i="17"/>
  <c r="M48" i="17"/>
  <c r="L48" i="17"/>
  <c r="K48" i="17"/>
  <c r="J48" i="17"/>
  <c r="I48" i="17"/>
  <c r="H48" i="17"/>
  <c r="G48" i="17"/>
  <c r="F48" i="17"/>
  <c r="E48" i="17"/>
  <c r="N47" i="17"/>
  <c r="M47" i="17"/>
  <c r="L47" i="17"/>
  <c r="K47" i="17"/>
  <c r="J47" i="17"/>
  <c r="I47" i="17"/>
  <c r="H47" i="17"/>
  <c r="G47" i="17"/>
  <c r="F47" i="17"/>
  <c r="E47" i="17"/>
  <c r="N46" i="17"/>
  <c r="M46" i="17"/>
  <c r="L46" i="17"/>
  <c r="K46" i="17"/>
  <c r="J46" i="17"/>
  <c r="I46" i="17"/>
  <c r="H46" i="17"/>
  <c r="G46" i="17"/>
  <c r="F46" i="17"/>
  <c r="E46" i="17"/>
  <c r="O78" i="17"/>
  <c r="O77" i="17"/>
  <c r="O76" i="17"/>
  <c r="O69" i="17"/>
  <c r="N62" i="17"/>
  <c r="M62" i="17"/>
  <c r="L62" i="17"/>
  <c r="K62" i="17"/>
  <c r="J62" i="17"/>
  <c r="I62" i="17"/>
  <c r="H62" i="17"/>
  <c r="G62" i="17"/>
  <c r="F62" i="17"/>
  <c r="E62" i="17"/>
  <c r="N61" i="17"/>
  <c r="M61" i="17"/>
  <c r="L61" i="17"/>
  <c r="K61" i="17"/>
  <c r="J61" i="17"/>
  <c r="I61" i="17"/>
  <c r="H61" i="17"/>
  <c r="G61" i="17"/>
  <c r="F61" i="17"/>
  <c r="E61" i="17"/>
  <c r="D6" i="4"/>
  <c r="L21" i="8" l="1"/>
  <c r="U19" i="8"/>
  <c r="D8" i="4"/>
  <c r="J14" i="6"/>
  <c r="K14" i="6"/>
  <c r="G15" i="6" s="1"/>
  <c r="O25" i="19"/>
  <c r="P25" i="19" s="1"/>
  <c r="Q25" i="19" s="1"/>
  <c r="R25" i="19" s="1"/>
  <c r="O53" i="19"/>
  <c r="P53" i="19" s="1"/>
  <c r="Q53" i="19" s="1"/>
  <c r="R53" i="19" s="1"/>
  <c r="O45" i="19"/>
  <c r="P45" i="19" s="1"/>
  <c r="Q45" i="19" s="1"/>
  <c r="R45" i="19" s="1"/>
  <c r="O40" i="19"/>
  <c r="P40" i="19" s="1"/>
  <c r="Q40" i="19" s="1"/>
  <c r="R40" i="19" s="1"/>
  <c r="O35" i="19"/>
  <c r="P35" i="19" s="1"/>
  <c r="Q35" i="19" s="1"/>
  <c r="R35" i="19" s="1"/>
  <c r="O17" i="19"/>
  <c r="P17" i="19" s="1"/>
  <c r="Q17" i="19" s="1"/>
  <c r="R17" i="19" s="1"/>
  <c r="H25" i="19"/>
  <c r="D27" i="19"/>
  <c r="D28" i="19" s="1"/>
  <c r="D29" i="19" s="1"/>
  <c r="D30" i="19" s="1"/>
  <c r="D31" i="19" s="1"/>
  <c r="D32" i="19" s="1"/>
  <c r="D33" i="19" s="1"/>
  <c r="O80" i="17"/>
  <c r="O71" i="17"/>
  <c r="O50" i="17"/>
  <c r="O44" i="17"/>
  <c r="O38" i="17"/>
  <c r="O59" i="17" s="1"/>
  <c r="H27" i="17"/>
  <c r="H26" i="17"/>
  <c r="H24" i="17"/>
  <c r="G9" i="6" a="1"/>
  <c r="D6" i="19" a="1"/>
  <c r="M21" i="8" l="1"/>
  <c r="V19" i="8"/>
  <c r="G9" i="6"/>
  <c r="G23" i="6" s="1"/>
  <c r="D6" i="19"/>
  <c r="O47" i="11"/>
  <c r="P47" i="11" s="1"/>
  <c r="Q47" i="11" s="1"/>
  <c r="R47" i="11" s="1"/>
  <c r="G47" i="11"/>
  <c r="H47" i="11" s="1"/>
  <c r="I47" i="11" s="1"/>
  <c r="J47" i="11" s="1"/>
  <c r="K47" i="11" s="1"/>
  <c r="L47" i="11" s="1"/>
  <c r="M47" i="11" s="1"/>
  <c r="O38" i="11"/>
  <c r="P38" i="11" s="1"/>
  <c r="Q38" i="11" s="1"/>
  <c r="R38" i="11" s="1"/>
  <c r="G38" i="11"/>
  <c r="H38" i="11" s="1"/>
  <c r="I38" i="11" s="1"/>
  <c r="J38" i="11" s="1"/>
  <c r="K38" i="11" s="1"/>
  <c r="L38" i="11" s="1"/>
  <c r="M38" i="11" s="1"/>
  <c r="O31" i="11"/>
  <c r="P31" i="11" s="1"/>
  <c r="Q31" i="11" s="1"/>
  <c r="R31" i="11" s="1"/>
  <c r="G31" i="11"/>
  <c r="H31" i="11" s="1"/>
  <c r="I31" i="11" s="1"/>
  <c r="J31" i="11" s="1"/>
  <c r="K31" i="11" s="1"/>
  <c r="L31" i="11" s="1"/>
  <c r="M31" i="11" s="1"/>
  <c r="O25" i="11"/>
  <c r="P25" i="11" s="1"/>
  <c r="Q25" i="11" s="1"/>
  <c r="R25" i="11" s="1"/>
  <c r="G25" i="11"/>
  <c r="H25" i="11" s="1"/>
  <c r="I25" i="11" s="1"/>
  <c r="J25" i="11" s="1"/>
  <c r="K25" i="11" s="1"/>
  <c r="L25" i="11" s="1"/>
  <c r="M25" i="11" s="1"/>
  <c r="O13" i="11"/>
  <c r="P13" i="11" s="1"/>
  <c r="Q13" i="11" s="1"/>
  <c r="R13" i="11" s="1"/>
  <c r="G13" i="11"/>
  <c r="H13" i="11" s="1"/>
  <c r="I13" i="11" s="1"/>
  <c r="J13" i="11" s="1"/>
  <c r="K13" i="11" s="1"/>
  <c r="L13" i="11" s="1"/>
  <c r="M13" i="11" s="1"/>
  <c r="G4" i="11"/>
  <c r="H4" i="11" s="1"/>
  <c r="I4" i="11" s="1"/>
  <c r="J4" i="11" s="1"/>
  <c r="K4" i="11" s="1"/>
  <c r="L4" i="11" s="1"/>
  <c r="M4" i="11" s="1"/>
  <c r="O73" i="17"/>
  <c r="N56" i="17"/>
  <c r="M56" i="17"/>
  <c r="L56" i="17"/>
  <c r="K56" i="17"/>
  <c r="J56" i="17"/>
  <c r="I56" i="17"/>
  <c r="H56" i="17"/>
  <c r="G56" i="17"/>
  <c r="F56" i="17"/>
  <c r="E56" i="17"/>
  <c r="N55" i="17"/>
  <c r="M55" i="17"/>
  <c r="L55" i="17"/>
  <c r="K55" i="17"/>
  <c r="J55" i="17"/>
  <c r="I55" i="17"/>
  <c r="H55" i="17"/>
  <c r="G55" i="17"/>
  <c r="F55" i="17"/>
  <c r="E55" i="17"/>
  <c r="N54" i="17"/>
  <c r="M54" i="17"/>
  <c r="L54" i="17"/>
  <c r="K54" i="17"/>
  <c r="J54" i="17"/>
  <c r="I54" i="17"/>
  <c r="H54" i="17"/>
  <c r="G54" i="17"/>
  <c r="F54" i="17"/>
  <c r="E54" i="17"/>
  <c r="N53" i="17"/>
  <c r="M53" i="17"/>
  <c r="L53" i="17"/>
  <c r="K53" i="17"/>
  <c r="J53" i="17"/>
  <c r="I53" i="17"/>
  <c r="H53" i="17"/>
  <c r="G53" i="17"/>
  <c r="F53" i="17"/>
  <c r="E53" i="17"/>
  <c r="N52" i="17"/>
  <c r="M52" i="17"/>
  <c r="L52" i="17"/>
  <c r="K52" i="17"/>
  <c r="J52" i="17"/>
  <c r="I52" i="17"/>
  <c r="H52" i="17"/>
  <c r="G52" i="17"/>
  <c r="F52" i="17"/>
  <c r="N42" i="17"/>
  <c r="M42" i="17"/>
  <c r="L42" i="17"/>
  <c r="K42" i="17"/>
  <c r="J42" i="17"/>
  <c r="I42" i="17"/>
  <c r="H42" i="17"/>
  <c r="G42" i="17"/>
  <c r="F42" i="17"/>
  <c r="E42" i="17"/>
  <c r="N99" i="17"/>
  <c r="M99" i="17"/>
  <c r="L99" i="17"/>
  <c r="G99" i="17"/>
  <c r="F99" i="17"/>
  <c r="E99" i="17"/>
  <c r="I8" i="17" s="1"/>
  <c r="A17" i="17"/>
  <c r="A16" i="17"/>
  <c r="A15" i="17"/>
  <c r="A14" i="17"/>
  <c r="A13" i="17"/>
  <c r="A12" i="17"/>
  <c r="A11" i="17"/>
  <c r="A10" i="17"/>
  <c r="J10" i="17" s="1" a="1"/>
  <c r="J10" i="17" s="1"/>
  <c r="A9" i="17"/>
  <c r="B22" i="3" a="1"/>
  <c r="D91" i="17"/>
  <c r="A6" i="17" s="1"/>
  <c r="Q53" i="11"/>
  <c r="R53" i="11" s="1"/>
  <c r="AB205" i="8"/>
  <c r="AA205" i="8"/>
  <c r="AB204" i="8"/>
  <c r="AA204" i="8"/>
  <c r="AF8" i="8"/>
  <c r="AF9" i="8" s="1"/>
  <c r="AF10" i="8" s="1"/>
  <c r="AF11" i="8" s="1"/>
  <c r="AF12" i="8" s="1"/>
  <c r="AF13" i="8" s="1"/>
  <c r="AF14" i="8" s="1"/>
  <c r="P63" i="8"/>
  <c r="O63" i="8"/>
  <c r="N63" i="8"/>
  <c r="M63" i="8"/>
  <c r="L63" i="8"/>
  <c r="K63" i="8"/>
  <c r="J63" i="8"/>
  <c r="I63" i="8"/>
  <c r="H110" i="9"/>
  <c r="I110" i="9" s="1"/>
  <c r="J110" i="9" s="1"/>
  <c r="K110" i="9" s="1"/>
  <c r="L110" i="9" s="1"/>
  <c r="M110" i="9" s="1"/>
  <c r="N110" i="9" s="1"/>
  <c r="O110" i="9" s="1"/>
  <c r="P110" i="9" s="1"/>
  <c r="Q110" i="9" s="1"/>
  <c r="N67" i="9"/>
  <c r="I13" i="9"/>
  <c r="I67" i="9" s="1"/>
  <c r="F51" i="8"/>
  <c r="L13" i="9"/>
  <c r="L67" i="9" s="1"/>
  <c r="K13" i="9"/>
  <c r="K67" i="9" s="1"/>
  <c r="J13" i="9"/>
  <c r="J67" i="9" s="1"/>
  <c r="H13" i="9"/>
  <c r="H67" i="9" s="1"/>
  <c r="G13" i="9"/>
  <c r="N76" i="9"/>
  <c r="M58" i="11" s="1"/>
  <c r="M76" i="9"/>
  <c r="L58" i="11" s="1"/>
  <c r="I76" i="9"/>
  <c r="H58" i="11" s="1"/>
  <c r="G76" i="9"/>
  <c r="Q76" i="9"/>
  <c r="P58" i="11" s="1"/>
  <c r="H55" i="9"/>
  <c r="I55" i="9"/>
  <c r="I112" i="9" s="1"/>
  <c r="L55" i="9"/>
  <c r="N55" i="9"/>
  <c r="I50" i="9"/>
  <c r="Q50" i="9"/>
  <c r="H32" i="9"/>
  <c r="G28" i="11" s="1"/>
  <c r="K32" i="9"/>
  <c r="J28" i="11" s="1"/>
  <c r="L32" i="9"/>
  <c r="K28" i="11" s="1"/>
  <c r="P55" i="9"/>
  <c r="M55" i="9"/>
  <c r="I17" i="9"/>
  <c r="G8" i="9"/>
  <c r="F21" i="11" s="1"/>
  <c r="G57" i="8"/>
  <c r="G147" i="8"/>
  <c r="E57" i="8"/>
  <c r="E43" i="8"/>
  <c r="E44" i="8" s="1"/>
  <c r="E155" i="8"/>
  <c r="F147" i="8"/>
  <c r="F155" i="8"/>
  <c r="E102" i="8"/>
  <c r="G165" i="8"/>
  <c r="G43" i="8"/>
  <c r="H43" i="8" s="1"/>
  <c r="F94" i="8"/>
  <c r="E72" i="8"/>
  <c r="E167" i="8"/>
  <c r="F43" i="8"/>
  <c r="G155" i="8"/>
  <c r="G46" i="8"/>
  <c r="Q49" i="11"/>
  <c r="Q54" i="19" s="1"/>
  <c r="E133" i="8"/>
  <c r="F102" i="8"/>
  <c r="G102" i="8"/>
  <c r="D106" i="17"/>
  <c r="F57" i="8"/>
  <c r="D107" i="17"/>
  <c r="B21" i="3" a="1"/>
  <c r="B9" i="17" l="1" a="1"/>
  <c r="B9" i="17" s="1"/>
  <c r="J9" i="17" a="1"/>
  <c r="J9" i="17" s="1"/>
  <c r="N9" i="17" a="1"/>
  <c r="N9" i="17" s="1"/>
  <c r="O9" i="17" a="1"/>
  <c r="O9" i="17" s="1"/>
  <c r="M9" i="17" a="1"/>
  <c r="M9" i="17" s="1"/>
  <c r="K9" i="17" a="1"/>
  <c r="K9" i="17" s="1"/>
  <c r="L9" i="17" a="1"/>
  <c r="L9" i="17" s="1"/>
  <c r="B10" i="17" a="1"/>
  <c r="B10" i="17" s="1"/>
  <c r="O10" i="17" a="1"/>
  <c r="O10" i="17" s="1"/>
  <c r="M10" i="17" a="1"/>
  <c r="M10" i="17" s="1"/>
  <c r="K10" i="17" a="1"/>
  <c r="K10" i="17" s="1"/>
  <c r="N10" i="17" a="1"/>
  <c r="N10" i="17" s="1"/>
  <c r="L10" i="17" a="1"/>
  <c r="L10" i="17" s="1"/>
  <c r="T19" i="17" a="1"/>
  <c r="T19" i="17" s="1"/>
  <c r="B6" i="17" a="1"/>
  <c r="B6" i="17" s="1"/>
  <c r="B17" i="17" a="1"/>
  <c r="B17" i="17" s="1"/>
  <c r="J17" i="17" a="1"/>
  <c r="J17" i="17" s="1"/>
  <c r="N17" i="17" a="1"/>
  <c r="N17" i="17" s="1"/>
  <c r="O17" i="17" a="1"/>
  <c r="O17" i="17" s="1"/>
  <c r="M17" i="17" a="1"/>
  <c r="M17" i="17" s="1"/>
  <c r="K17" i="17" a="1"/>
  <c r="K17" i="17" s="1"/>
  <c r="C17" i="17" a="1"/>
  <c r="C17" i="17" s="1"/>
  <c r="L17" i="17" a="1"/>
  <c r="L17" i="17" s="1"/>
  <c r="B16" i="17" a="1"/>
  <c r="B16" i="17" s="1"/>
  <c r="B15" i="17" a="1"/>
  <c r="B15" i="17" s="1"/>
  <c r="B14" i="17" a="1"/>
  <c r="B14" i="17" s="1"/>
  <c r="B13" i="17" a="1"/>
  <c r="B13" i="17" s="1"/>
  <c r="J29" i="17" s="1"/>
  <c r="B12" i="17" a="1"/>
  <c r="B12" i="17" s="1"/>
  <c r="B11" i="17" a="1"/>
  <c r="B11" i="17" s="1"/>
  <c r="O16" i="17" a="1"/>
  <c r="O16" i="17" s="1"/>
  <c r="K16" i="17" a="1"/>
  <c r="K16" i="17" s="1"/>
  <c r="L16" i="17" a="1"/>
  <c r="L16" i="17" s="1"/>
  <c r="N16" i="17" a="1"/>
  <c r="N16" i="17" s="1"/>
  <c r="J16" i="17" a="1"/>
  <c r="J16" i="17" s="1"/>
  <c r="M16" i="17" a="1"/>
  <c r="M16" i="17" s="1"/>
  <c r="C16" i="17" a="1"/>
  <c r="C16" i="17" s="1"/>
  <c r="J15" i="17" a="1"/>
  <c r="J15" i="17" s="1"/>
  <c r="O15" i="17" a="1"/>
  <c r="O15" i="17" s="1"/>
  <c r="L15" i="17" a="1"/>
  <c r="L15" i="17" s="1"/>
  <c r="N15" i="17" a="1"/>
  <c r="N15" i="17" s="1"/>
  <c r="K15" i="17" a="1"/>
  <c r="K15" i="17" s="1"/>
  <c r="C15" i="17" a="1"/>
  <c r="C15" i="17" s="1"/>
  <c r="M15" i="17" a="1"/>
  <c r="M15" i="17" s="1"/>
  <c r="C14" i="17" a="1"/>
  <c r="C14" i="17" s="1"/>
  <c r="O14" i="17" a="1"/>
  <c r="O14" i="17" s="1"/>
  <c r="N14" i="17" a="1"/>
  <c r="N14" i="17" s="1"/>
  <c r="O13" i="17" a="1"/>
  <c r="O13" i="17" s="1"/>
  <c r="C13" i="17" a="1"/>
  <c r="C13" i="17" s="1"/>
  <c r="M13" i="17" a="1"/>
  <c r="M13" i="17" s="1"/>
  <c r="K13" i="17" a="1"/>
  <c r="K13" i="17" s="1"/>
  <c r="J13" i="17" a="1"/>
  <c r="J13" i="17" s="1"/>
  <c r="N13" i="17" a="1"/>
  <c r="N13" i="17" s="1"/>
  <c r="L13" i="17" a="1"/>
  <c r="L13" i="17" s="1"/>
  <c r="C12" i="17" a="1"/>
  <c r="C12" i="17" s="1"/>
  <c r="L12" i="17" a="1"/>
  <c r="L12" i="17" s="1"/>
  <c r="N12" i="17" a="1"/>
  <c r="N12" i="17" s="1"/>
  <c r="K12" i="17" a="1"/>
  <c r="K12" i="17" s="1"/>
  <c r="O12" i="17" a="1"/>
  <c r="O12" i="17" s="1"/>
  <c r="M12" i="17" a="1"/>
  <c r="M12" i="17" s="1"/>
  <c r="J12" i="17" a="1"/>
  <c r="J12" i="17" s="1"/>
  <c r="C11" i="17" a="1"/>
  <c r="C11" i="17" s="1"/>
  <c r="L11" i="17" a="1"/>
  <c r="L11" i="17" s="1"/>
  <c r="M11" i="17" a="1"/>
  <c r="M11" i="17" s="1"/>
  <c r="K11" i="17" a="1"/>
  <c r="K11" i="17" s="1"/>
  <c r="N11" i="17" a="1"/>
  <c r="N11" i="17" s="1"/>
  <c r="O11" i="17" a="1"/>
  <c r="O11" i="17" s="1"/>
  <c r="J11" i="17" a="1"/>
  <c r="J11" i="17" s="1"/>
  <c r="C10" i="17" a="1"/>
  <c r="C10" i="17" s="1"/>
  <c r="C9" i="17" a="1"/>
  <c r="C9" i="17" s="1"/>
  <c r="O17" i="8"/>
  <c r="N21" i="8"/>
  <c r="W19" i="8"/>
  <c r="M112" i="9"/>
  <c r="F58" i="11"/>
  <c r="F156" i="8"/>
  <c r="G156" i="8"/>
  <c r="E156" i="8"/>
  <c r="G19" i="6"/>
  <c r="D85" i="17" a="1"/>
  <c r="D85" i="17" s="1"/>
  <c r="O85" i="17" s="1"/>
  <c r="D74" i="17" a="1"/>
  <c r="D74" i="17" s="1"/>
  <c r="G32" i="9"/>
  <c r="G37" i="9" s="1"/>
  <c r="Q55" i="9"/>
  <c r="Q58" i="9" s="1"/>
  <c r="K76" i="9"/>
  <c r="J58" i="11" s="1"/>
  <c r="G50" i="9"/>
  <c r="G53" i="9" s="1"/>
  <c r="J76" i="9"/>
  <c r="I58" i="11" s="1"/>
  <c r="G12" i="9"/>
  <c r="F18" i="11" s="1"/>
  <c r="L68" i="9"/>
  <c r="P32" i="9"/>
  <c r="O28" i="11" s="1"/>
  <c r="O37" i="19" s="1"/>
  <c r="J17" i="9"/>
  <c r="M17" i="9"/>
  <c r="P68" i="9"/>
  <c r="O32" i="9"/>
  <c r="L50" i="9"/>
  <c r="J55" i="9"/>
  <c r="G55" i="9"/>
  <c r="H68" i="9"/>
  <c r="H76" i="9"/>
  <c r="G58" i="11" s="1"/>
  <c r="L76" i="9"/>
  <c r="K58" i="11" s="1"/>
  <c r="L37" i="9"/>
  <c r="O33" i="11"/>
  <c r="F35" i="11"/>
  <c r="AQ9" i="8"/>
  <c r="P67" i="9"/>
  <c r="G17" i="9"/>
  <c r="K17" i="9"/>
  <c r="H37" i="9"/>
  <c r="H50" i="9"/>
  <c r="H53" i="9" s="1"/>
  <c r="Q32" i="9"/>
  <c r="P28" i="11" s="1"/>
  <c r="P37" i="19" s="1"/>
  <c r="M32" i="9"/>
  <c r="L28" i="11" s="1"/>
  <c r="I32" i="9"/>
  <c r="H28" i="11" s="1"/>
  <c r="F33" i="11"/>
  <c r="AR9" i="8"/>
  <c r="N50" i="9"/>
  <c r="J50" i="9"/>
  <c r="I68" i="9"/>
  <c r="Q68" i="9"/>
  <c r="P76" i="9"/>
  <c r="O58" i="11" s="1"/>
  <c r="G67" i="9"/>
  <c r="J32" i="9"/>
  <c r="I28" i="11" s="1"/>
  <c r="O50" i="9"/>
  <c r="O53" i="9" s="1"/>
  <c r="K37" i="9"/>
  <c r="K50" i="9"/>
  <c r="K53" i="9" s="1"/>
  <c r="P50" i="9"/>
  <c r="G35" i="11"/>
  <c r="O55" i="9"/>
  <c r="K55" i="9"/>
  <c r="G68" i="9"/>
  <c r="K68" i="9"/>
  <c r="O68" i="9"/>
  <c r="O76" i="9"/>
  <c r="N58" i="11" s="1"/>
  <c r="H17" i="9"/>
  <c r="L17" i="9"/>
  <c r="M33" i="11"/>
  <c r="L35" i="11"/>
  <c r="H35" i="11"/>
  <c r="F34" i="11"/>
  <c r="J68" i="9"/>
  <c r="N68" i="9"/>
  <c r="G57" i="17"/>
  <c r="I27" i="17"/>
  <c r="I26" i="17"/>
  <c r="I25" i="17"/>
  <c r="I24" i="17"/>
  <c r="B21" i="3"/>
  <c r="B22" i="3"/>
  <c r="L57" i="17"/>
  <c r="I57" i="17"/>
  <c r="M57" i="17"/>
  <c r="F57" i="17"/>
  <c r="N57" i="17"/>
  <c r="H57" i="17"/>
  <c r="J57" i="17"/>
  <c r="K57" i="17"/>
  <c r="F124" i="8"/>
  <c r="Q39" i="9"/>
  <c r="Q46" i="9" s="1"/>
  <c r="P39" i="9"/>
  <c r="P46" i="9" s="1"/>
  <c r="O39" i="9"/>
  <c r="O46" i="9" s="1"/>
  <c r="N39" i="9"/>
  <c r="N46" i="9" s="1"/>
  <c r="M39" i="9"/>
  <c r="M46" i="9" s="1"/>
  <c r="L39" i="9"/>
  <c r="L46" i="9" s="1"/>
  <c r="K39" i="9"/>
  <c r="K46" i="9" s="1"/>
  <c r="J39" i="9"/>
  <c r="J46" i="9" s="1"/>
  <c r="I39" i="9"/>
  <c r="I46" i="9" s="1"/>
  <c r="H39" i="9"/>
  <c r="H46" i="9" s="1"/>
  <c r="G39" i="9"/>
  <c r="G46" i="9" s="1"/>
  <c r="G91" i="9"/>
  <c r="H91" i="9"/>
  <c r="I91" i="9"/>
  <c r="J91" i="9"/>
  <c r="K91" i="9"/>
  <c r="L91" i="9"/>
  <c r="M91" i="9"/>
  <c r="N91" i="9"/>
  <c r="O91" i="9"/>
  <c r="P91" i="9"/>
  <c r="Q91" i="9"/>
  <c r="Q53" i="9"/>
  <c r="M53" i="9"/>
  <c r="I53" i="9"/>
  <c r="H58" i="9"/>
  <c r="I58" i="9"/>
  <c r="J58" i="9"/>
  <c r="L58" i="9"/>
  <c r="M58" i="9"/>
  <c r="N58" i="9"/>
  <c r="P58" i="9"/>
  <c r="O4" i="11"/>
  <c r="P4" i="11" s="1"/>
  <c r="Q4" i="11" s="1"/>
  <c r="H64" i="9"/>
  <c r="I64" i="9" s="1"/>
  <c r="J64" i="9" s="1"/>
  <c r="K64" i="9" s="1"/>
  <c r="L64" i="9" s="1"/>
  <c r="M64" i="9" s="1"/>
  <c r="N64" i="9" s="1"/>
  <c r="O64" i="9" s="1"/>
  <c r="P64" i="9" s="1"/>
  <c r="Q64" i="9" s="1"/>
  <c r="Q45" i="9"/>
  <c r="H45" i="9"/>
  <c r="I48" i="9"/>
  <c r="H48" i="9"/>
  <c r="H30" i="9"/>
  <c r="I30" i="9" s="1"/>
  <c r="J30" i="9" s="1"/>
  <c r="K30" i="9" s="1"/>
  <c r="L30" i="9" s="1"/>
  <c r="M30" i="9" s="1"/>
  <c r="N30" i="9" s="1"/>
  <c r="O30" i="9" s="1"/>
  <c r="P30" i="9" s="1"/>
  <c r="Q30" i="9" s="1"/>
  <c r="H4" i="9"/>
  <c r="E230" i="8"/>
  <c r="E257" i="8" s="1"/>
  <c r="P198" i="8"/>
  <c r="E170" i="8"/>
  <c r="E215" i="8" s="1"/>
  <c r="E122" i="8"/>
  <c r="E85" i="8"/>
  <c r="F28" i="8"/>
  <c r="F15" i="8"/>
  <c r="G15" i="8" s="1"/>
  <c r="H15" i="8" s="1"/>
  <c r="L10" i="8"/>
  <c r="C13" i="8" s="1"/>
  <c r="F10" i="8"/>
  <c r="B21" i="4"/>
  <c r="B20" i="4"/>
  <c r="I14" i="4"/>
  <c r="H14" i="4"/>
  <c r="G14" i="4"/>
  <c r="E14" i="4"/>
  <c r="N13" i="4"/>
  <c r="M13" i="4"/>
  <c r="L13" i="4"/>
  <c r="K13" i="4"/>
  <c r="D13" i="4"/>
  <c r="N12" i="4"/>
  <c r="L12" i="4"/>
  <c r="K12" i="4"/>
  <c r="L10" i="4"/>
  <c r="M10" i="4" s="1"/>
  <c r="N10" i="4" s="1"/>
  <c r="F10" i="4"/>
  <c r="G10" i="4" s="1"/>
  <c r="H10" i="4" s="1"/>
  <c r="I10" i="4" s="1"/>
  <c r="I8" i="4"/>
  <c r="H8" i="4"/>
  <c r="G8" i="4"/>
  <c r="L8" i="4" s="1"/>
  <c r="N7" i="4"/>
  <c r="M7" i="4"/>
  <c r="K7" i="4"/>
  <c r="N6" i="4"/>
  <c r="M6" i="4"/>
  <c r="K6" i="4"/>
  <c r="L4" i="4"/>
  <c r="M4" i="4" s="1"/>
  <c r="N4" i="4" s="1"/>
  <c r="F4" i="4"/>
  <c r="F69" i="8"/>
  <c r="F70" i="8" s="1"/>
  <c r="G104" i="8"/>
  <c r="D119" i="17"/>
  <c r="G39" i="8"/>
  <c r="H39" i="8" s="1"/>
  <c r="D93" i="17"/>
  <c r="K33" i="11"/>
  <c r="G167" i="8"/>
  <c r="G75" i="8"/>
  <c r="F133" i="8"/>
  <c r="E101" i="8"/>
  <c r="D130" i="17"/>
  <c r="G126" i="8"/>
  <c r="H126" i="8" s="1"/>
  <c r="I126" i="8" s="1"/>
  <c r="J126" i="8" s="1"/>
  <c r="K126" i="8" s="1"/>
  <c r="L126" i="8" s="1"/>
  <c r="M126" i="8" s="1"/>
  <c r="N126" i="8" s="1"/>
  <c r="O126" i="8" s="1"/>
  <c r="P126" i="8" s="1"/>
  <c r="Q126" i="8" s="1"/>
  <c r="R126" i="8" s="1"/>
  <c r="S126" i="8" s="1"/>
  <c r="T126" i="8" s="1"/>
  <c r="U126" i="8" s="1"/>
  <c r="V126" i="8" s="1"/>
  <c r="W126" i="8" s="1"/>
  <c r="X126" i="8" s="1"/>
  <c r="Y126" i="8" s="1"/>
  <c r="Z126" i="8" s="1"/>
  <c r="F91" i="8"/>
  <c r="L33" i="11"/>
  <c r="G30" i="8"/>
  <c r="D113" i="17"/>
  <c r="G79" i="8"/>
  <c r="N35" i="11"/>
  <c r="H33" i="11"/>
  <c r="G101" i="8"/>
  <c r="F33" i="8"/>
  <c r="E94" i="8"/>
  <c r="E30" i="8"/>
  <c r="E23" i="8" s="1"/>
  <c r="F46" i="8"/>
  <c r="F140" i="8"/>
  <c r="F160" i="8"/>
  <c r="G135" i="8"/>
  <c r="G242" i="8" s="1"/>
  <c r="L34" i="11"/>
  <c r="M34" i="11"/>
  <c r="E66" i="8"/>
  <c r="J34" i="11"/>
  <c r="G54" i="8"/>
  <c r="G55" i="8" s="1"/>
  <c r="G66" i="8"/>
  <c r="G152" i="8"/>
  <c r="D128" i="17"/>
  <c r="G160" i="8"/>
  <c r="E137" i="8"/>
  <c r="G137" i="8"/>
  <c r="F167" i="8"/>
  <c r="G72" i="8"/>
  <c r="F39" i="8"/>
  <c r="F158" i="8"/>
  <c r="F101" i="8"/>
  <c r="E147" i="8"/>
  <c r="E33" i="8"/>
  <c r="D30" i="8"/>
  <c r="F54" i="8"/>
  <c r="F55" i="8" s="1"/>
  <c r="D129" i="17"/>
  <c r="E111" i="8"/>
  <c r="G91" i="8"/>
  <c r="E75" i="8"/>
  <c r="F137" i="8"/>
  <c r="E69" i="8"/>
  <c r="E91" i="8"/>
  <c r="D104" i="17"/>
  <c r="N33" i="11"/>
  <c r="O34" i="11"/>
  <c r="E46" i="8"/>
  <c r="E39" i="8"/>
  <c r="E40" i="8" s="1"/>
  <c r="E104" i="8"/>
  <c r="K34" i="11"/>
  <c r="J33" i="11"/>
  <c r="D98" i="17"/>
  <c r="E140" i="8"/>
  <c r="G111" i="8"/>
  <c r="D111" i="17"/>
  <c r="E79" i="8"/>
  <c r="E165" i="8"/>
  <c r="D112" i="17"/>
  <c r="J35" i="11"/>
  <c r="E152" i="8"/>
  <c r="D114" i="17"/>
  <c r="F75" i="8"/>
  <c r="G140" i="8"/>
  <c r="F72" i="8"/>
  <c r="G33" i="8"/>
  <c r="O35" i="11"/>
  <c r="E126" i="8"/>
  <c r="F111" i="8"/>
  <c r="I35" i="11"/>
  <c r="F149" i="8"/>
  <c r="D94" i="17"/>
  <c r="M35" i="11"/>
  <c r="D126" i="17"/>
  <c r="D131" i="17"/>
  <c r="D115" i="17"/>
  <c r="N34" i="11"/>
  <c r="F165" i="8"/>
  <c r="G33" i="11"/>
  <c r="I34" i="11"/>
  <c r="E54" i="8"/>
  <c r="E55" i="8" s="1"/>
  <c r="D97" i="17"/>
  <c r="G21" i="3" s="1" a="1"/>
  <c r="G21" i="3" s="1"/>
  <c r="G32" i="3" s="1"/>
  <c r="E149" i="8"/>
  <c r="F119" i="8"/>
  <c r="F104" i="8"/>
  <c r="I33" i="11"/>
  <c r="G34" i="11"/>
  <c r="G69" i="8"/>
  <c r="G70" i="8" s="1"/>
  <c r="F66" i="8"/>
  <c r="G94" i="8"/>
  <c r="F30" i="8"/>
  <c r="G149" i="8"/>
  <c r="K35" i="11"/>
  <c r="H34" i="11"/>
  <c r="F79" i="8"/>
  <c r="F152" i="8"/>
  <c r="D118" i="17"/>
  <c r="D127" i="17"/>
  <c r="E119" i="8"/>
  <c r="F126" i="8"/>
  <c r="E160" i="8"/>
  <c r="G158" i="8"/>
  <c r="B23" i="3" a="1"/>
  <c r="B24" i="3" a="1"/>
  <c r="E138" i="8" l="1"/>
  <c r="G40" i="8"/>
  <c r="G23" i="8"/>
  <c r="G31" i="8"/>
  <c r="F23" i="8"/>
  <c r="F31" i="8"/>
  <c r="F40" i="8"/>
  <c r="G138" i="8"/>
  <c r="D61" i="17"/>
  <c r="O61" i="17" s="1"/>
  <c r="J80" i="17"/>
  <c r="J50" i="17"/>
  <c r="J38" i="17"/>
  <c r="J59" i="17" s="1"/>
  <c r="J71" i="17"/>
  <c r="J44" i="17"/>
  <c r="F138" i="8"/>
  <c r="I15" i="8"/>
  <c r="J15" i="8" s="1"/>
  <c r="K15" i="8" s="1"/>
  <c r="L15" i="8" s="1"/>
  <c r="M15" i="8" s="1"/>
  <c r="N15" i="8" s="1"/>
  <c r="O15" i="8" s="1"/>
  <c r="P15" i="8" s="1"/>
  <c r="Q15" i="8" s="1"/>
  <c r="R15" i="8" s="1"/>
  <c r="S15" i="8" s="1"/>
  <c r="T15" i="8" s="1"/>
  <c r="U15" i="8" s="1"/>
  <c r="V15" i="8" s="1"/>
  <c r="W15" i="8" s="1"/>
  <c r="X15" i="8" s="1"/>
  <c r="Y15" i="8" s="1"/>
  <c r="Z15" i="8" s="1"/>
  <c r="E34" i="8"/>
  <c r="G34" i="8"/>
  <c r="H34" i="8" s="1"/>
  <c r="F34" i="8"/>
  <c r="P17" i="8"/>
  <c r="O21" i="8"/>
  <c r="X19" i="8"/>
  <c r="L53" i="9"/>
  <c r="D116" i="17"/>
  <c r="D55" i="17" s="1"/>
  <c r="O55" i="17" s="1"/>
  <c r="E70" i="8"/>
  <c r="N112" i="9"/>
  <c r="N115" i="9" s="1"/>
  <c r="H112" i="9"/>
  <c r="L112" i="9"/>
  <c r="L115" i="9" s="1"/>
  <c r="F127" i="8"/>
  <c r="F28" i="11"/>
  <c r="K112" i="9"/>
  <c r="J112" i="9"/>
  <c r="D120" i="17"/>
  <c r="Q112" i="9"/>
  <c r="Q115" i="9" s="1"/>
  <c r="N28" i="11"/>
  <c r="N37" i="19" s="1"/>
  <c r="M28" i="11"/>
  <c r="G51" i="8"/>
  <c r="G52" i="8" s="1"/>
  <c r="O112" i="9"/>
  <c r="P112" i="9"/>
  <c r="F52" i="8"/>
  <c r="G141" i="8"/>
  <c r="G127" i="8"/>
  <c r="E127" i="8"/>
  <c r="F36" i="11"/>
  <c r="J36" i="11"/>
  <c r="O36" i="11"/>
  <c r="O41" i="19" s="1"/>
  <c r="M36" i="11"/>
  <c r="E141" i="8"/>
  <c r="L36" i="11"/>
  <c r="E6" i="17"/>
  <c r="E18" i="17" s="1"/>
  <c r="E19" i="17" s="1"/>
  <c r="H55" i="8"/>
  <c r="I55" i="8" s="1"/>
  <c r="D6" i="17"/>
  <c r="D18" i="17" s="1"/>
  <c r="D19" i="17" s="1"/>
  <c r="G36" i="11"/>
  <c r="F141" i="8"/>
  <c r="H36" i="11"/>
  <c r="K36" i="11"/>
  <c r="N36" i="11"/>
  <c r="N41" i="19" s="1"/>
  <c r="I36" i="11"/>
  <c r="N7" i="11"/>
  <c r="N19" i="19" s="1"/>
  <c r="V31" i="19"/>
  <c r="G10" i="6"/>
  <c r="C6" i="17" a="1"/>
  <c r="C6" i="17" s="1"/>
  <c r="G112" i="9"/>
  <c r="O37" i="9"/>
  <c r="E97" i="8" s="1"/>
  <c r="E98" i="8" s="1"/>
  <c r="D67" i="17"/>
  <c r="O67" i="17" s="1"/>
  <c r="P53" i="9"/>
  <c r="F114" i="8" s="1"/>
  <c r="N37" i="9"/>
  <c r="P37" i="9"/>
  <c r="F97" i="8" s="1"/>
  <c r="F98" i="8" s="1"/>
  <c r="D64" i="17"/>
  <c r="O64" i="17" s="1"/>
  <c r="D68" i="17"/>
  <c r="O68" i="17" s="1"/>
  <c r="D66" i="17"/>
  <c r="O66" i="17" s="1"/>
  <c r="D65" i="17"/>
  <c r="O65" i="17" s="1"/>
  <c r="J53" i="9"/>
  <c r="O58" i="9"/>
  <c r="K58" i="9"/>
  <c r="G25" i="17"/>
  <c r="G58" i="9"/>
  <c r="N53" i="9"/>
  <c r="Q37" i="9"/>
  <c r="H115" i="9"/>
  <c r="B24" i="3"/>
  <c r="B23" i="3"/>
  <c r="C9" i="27"/>
  <c r="D48" i="17"/>
  <c r="O48" i="17" s="1"/>
  <c r="N18" i="6"/>
  <c r="N17" i="6"/>
  <c r="N12" i="6"/>
  <c r="N16" i="6"/>
  <c r="N15" i="6"/>
  <c r="N9" i="6"/>
  <c r="N14" i="6"/>
  <c r="N13" i="6"/>
  <c r="N11" i="6"/>
  <c r="N10" i="6"/>
  <c r="D46" i="17"/>
  <c r="O46" i="17" s="1"/>
  <c r="D47" i="17"/>
  <c r="O47" i="17" s="1"/>
  <c r="H198" i="8"/>
  <c r="H197" i="8" s="1"/>
  <c r="E100" i="8"/>
  <c r="G238" i="8"/>
  <c r="G188" i="8"/>
  <c r="E27" i="19"/>
  <c r="E188" i="8"/>
  <c r="E238" i="8"/>
  <c r="G100" i="8"/>
  <c r="E26" i="19"/>
  <c r="E31" i="8"/>
  <c r="E103" i="8"/>
  <c r="I28" i="19"/>
  <c r="F238" i="8"/>
  <c r="F188" i="8"/>
  <c r="F244" i="8"/>
  <c r="AL8" i="8" s="1"/>
  <c r="F259" i="8"/>
  <c r="AJ8" i="8" s="1"/>
  <c r="D54" i="17"/>
  <c r="O54" i="17" s="1"/>
  <c r="E120" i="8"/>
  <c r="E244" i="8"/>
  <c r="AL7" i="8" s="1"/>
  <c r="E28" i="19"/>
  <c r="D53" i="17"/>
  <c r="O53" i="17" s="1"/>
  <c r="G244" i="8"/>
  <c r="AL9" i="8" s="1"/>
  <c r="G259" i="8"/>
  <c r="AJ9" i="8" s="1"/>
  <c r="F100" i="8"/>
  <c r="E259" i="8"/>
  <c r="AJ7" i="8" s="1"/>
  <c r="F120" i="8"/>
  <c r="F103" i="8"/>
  <c r="I37" i="9"/>
  <c r="M37" i="9"/>
  <c r="J115" i="9"/>
  <c r="M115" i="9"/>
  <c r="I115" i="9"/>
  <c r="D52" i="17"/>
  <c r="O52" i="17" s="1"/>
  <c r="O67" i="9"/>
  <c r="D14" i="4"/>
  <c r="N14" i="4"/>
  <c r="G103" i="8"/>
  <c r="Q67" i="9"/>
  <c r="J37" i="9"/>
  <c r="M17" i="6"/>
  <c r="M10" i="6"/>
  <c r="M18" i="6"/>
  <c r="M15" i="6"/>
  <c r="M9" i="6"/>
  <c r="O74" i="17"/>
  <c r="M16" i="6"/>
  <c r="G4" i="4"/>
  <c r="K8" i="4"/>
  <c r="M8" i="4"/>
  <c r="N8" i="4"/>
  <c r="K14" i="4"/>
  <c r="L14" i="4"/>
  <c r="F170" i="8"/>
  <c r="F215" i="8" s="1"/>
  <c r="F122" i="8"/>
  <c r="F85" i="8"/>
  <c r="I45" i="9"/>
  <c r="J45" i="9"/>
  <c r="O45" i="9"/>
  <c r="P45" i="9"/>
  <c r="L48" i="9"/>
  <c r="M48" i="9"/>
  <c r="N48" i="9"/>
  <c r="O48" i="9"/>
  <c r="R4" i="11"/>
  <c r="H8" i="9"/>
  <c r="G21" i="11" s="1"/>
  <c r="J8" i="9"/>
  <c r="I21" i="11" s="1"/>
  <c r="L8" i="9"/>
  <c r="K21" i="11" s="1"/>
  <c r="M8" i="9"/>
  <c r="N8" i="9"/>
  <c r="M21" i="11" s="1"/>
  <c r="K8" i="9"/>
  <c r="J21" i="11" s="1"/>
  <c r="I8" i="9"/>
  <c r="H21" i="11" s="1"/>
  <c r="O8" i="9"/>
  <c r="N21" i="11" s="1"/>
  <c r="N31" i="19" s="1"/>
  <c r="P8" i="9"/>
  <c r="O21" i="11" s="1"/>
  <c r="O31" i="19" s="1"/>
  <c r="Q8" i="9"/>
  <c r="G48" i="9"/>
  <c r="J48" i="9"/>
  <c r="K48" i="9"/>
  <c r="G45" i="9"/>
  <c r="K45" i="9"/>
  <c r="L45" i="9"/>
  <c r="P48" i="9"/>
  <c r="M45" i="9"/>
  <c r="Q48" i="9"/>
  <c r="N45" i="9"/>
  <c r="I4" i="9"/>
  <c r="E95" i="8"/>
  <c r="G95" i="8"/>
  <c r="F95" i="8"/>
  <c r="G192" i="8"/>
  <c r="F236" i="8"/>
  <c r="F186" i="8"/>
  <c r="G172" i="8"/>
  <c r="G92" i="8"/>
  <c r="H92" i="8" s="1"/>
  <c r="I92" i="8" s="1"/>
  <c r="J92" i="8" s="1"/>
  <c r="K92" i="8" s="1"/>
  <c r="L92" i="8" s="1"/>
  <c r="M92" i="8" s="1"/>
  <c r="N92" i="8" s="1"/>
  <c r="O92" i="8" s="1"/>
  <c r="P92" i="8" s="1"/>
  <c r="Q92" i="8" s="1"/>
  <c r="R92" i="8" s="1"/>
  <c r="S92" i="8" s="1"/>
  <c r="T92" i="8" s="1"/>
  <c r="U92" i="8" s="1"/>
  <c r="V92" i="8" s="1"/>
  <c r="W92" i="8" s="1"/>
  <c r="X92" i="8" s="1"/>
  <c r="Y92" i="8" s="1"/>
  <c r="Z92" i="8" s="1"/>
  <c r="E112" i="8"/>
  <c r="F112" i="8"/>
  <c r="G112" i="8"/>
  <c r="G28" i="8"/>
  <c r="F230" i="8"/>
  <c r="F257" i="8" s="1"/>
  <c r="M14" i="4"/>
  <c r="G163" i="8"/>
  <c r="F163" i="8"/>
  <c r="D102" i="17"/>
  <c r="E163" i="8"/>
  <c r="E129" i="8"/>
  <c r="G117" i="8"/>
  <c r="G89" i="8"/>
  <c r="F117" i="8"/>
  <c r="P34" i="11"/>
  <c r="F135" i="8"/>
  <c r="F242" i="8" s="1"/>
  <c r="G63" i="8"/>
  <c r="G129" i="8"/>
  <c r="G114" i="8"/>
  <c r="E114" i="8"/>
  <c r="P33" i="11"/>
  <c r="E117" i="8"/>
  <c r="F63" i="8"/>
  <c r="G119" i="8"/>
  <c r="E242" i="8"/>
  <c r="P35" i="11"/>
  <c r="G106" i="8"/>
  <c r="E51" i="8"/>
  <c r="E52" i="8" s="1"/>
  <c r="F129" i="8"/>
  <c r="E89" i="8"/>
  <c r="F89" i="8"/>
  <c r="E63" i="8"/>
  <c r="P24" i="17" a="1"/>
  <c r="L84" i="17" a="1"/>
  <c r="I84" i="17" a="1"/>
  <c r="H84" i="17" a="1"/>
  <c r="G83" i="17" a="1"/>
  <c r="I83" i="17" a="1"/>
  <c r="E84" i="17" a="1"/>
  <c r="K83" i="17" a="1"/>
  <c r="M83" i="17" a="1"/>
  <c r="G84" i="17" a="1"/>
  <c r="F83" i="17" a="1"/>
  <c r="J82" i="17" a="1"/>
  <c r="G82" i="17" a="1"/>
  <c r="N82" i="17" a="1"/>
  <c r="F41" i="8" l="1"/>
  <c r="H23" i="8"/>
  <c r="I23" i="8" s="1"/>
  <c r="I34" i="8"/>
  <c r="J34" i="8" s="1"/>
  <c r="K34" i="8" s="1"/>
  <c r="L34" i="8" s="1"/>
  <c r="M34" i="8" s="1"/>
  <c r="N34" i="8" s="1"/>
  <c r="O34" i="8" s="1"/>
  <c r="P34" i="8" s="1"/>
  <c r="Q34" i="8" s="1"/>
  <c r="R34" i="8" s="1"/>
  <c r="S34" i="8" s="1"/>
  <c r="T34" i="8" s="1"/>
  <c r="U34" i="8" s="1"/>
  <c r="V34" i="8" s="1"/>
  <c r="W34" i="8" s="1"/>
  <c r="X34" i="8" s="1"/>
  <c r="Y34" i="8" s="1"/>
  <c r="Z34" i="8" s="1"/>
  <c r="N19" i="6"/>
  <c r="G13" i="6" s="1"/>
  <c r="G16" i="6" s="1"/>
  <c r="Q17" i="8"/>
  <c r="P21" i="8"/>
  <c r="Y19" i="8"/>
  <c r="G67" i="8"/>
  <c r="F67" i="8"/>
  <c r="G124" i="8"/>
  <c r="G186" i="8" s="1"/>
  <c r="G115" i="9"/>
  <c r="F45" i="11" s="1"/>
  <c r="F43" i="11"/>
  <c r="F44" i="11"/>
  <c r="P21" i="11"/>
  <c r="P31" i="19" s="1"/>
  <c r="E67" i="8"/>
  <c r="K115" i="9"/>
  <c r="I44" i="11"/>
  <c r="I43" i="11"/>
  <c r="K45" i="11"/>
  <c r="H54" i="8"/>
  <c r="H104" i="8" s="1"/>
  <c r="H141" i="8"/>
  <c r="I141" i="8" s="1"/>
  <c r="J141" i="8" s="1"/>
  <c r="K141" i="8" s="1"/>
  <c r="H95" i="8"/>
  <c r="H103" i="8"/>
  <c r="I103" i="8" s="1"/>
  <c r="J103" i="8" s="1"/>
  <c r="P36" i="11"/>
  <c r="P41" i="19" s="1"/>
  <c r="I24" i="3"/>
  <c r="I23" i="3"/>
  <c r="I22" i="3"/>
  <c r="J55" i="8"/>
  <c r="K55" i="8" s="1"/>
  <c r="I7" i="11"/>
  <c r="O7" i="11"/>
  <c r="O19" i="19" s="1"/>
  <c r="J7" i="11"/>
  <c r="H7" i="11"/>
  <c r="G7" i="11"/>
  <c r="K7" i="11"/>
  <c r="M7" i="11"/>
  <c r="P7" i="11"/>
  <c r="P19" i="19" s="1"/>
  <c r="L7" i="11"/>
  <c r="G103" i="9"/>
  <c r="F7" i="11"/>
  <c r="G24" i="17"/>
  <c r="G27" i="17"/>
  <c r="G26" i="17"/>
  <c r="O115" i="9"/>
  <c r="K103" i="9"/>
  <c r="I103" i="9"/>
  <c r="AM8" i="8"/>
  <c r="G120" i="8"/>
  <c r="H120" i="8" s="1"/>
  <c r="P24" i="17"/>
  <c r="M14" i="6"/>
  <c r="M11" i="6"/>
  <c r="M12" i="6"/>
  <c r="M13" i="6"/>
  <c r="L29" i="17"/>
  <c r="K29" i="17"/>
  <c r="N29" i="17"/>
  <c r="E29" i="17"/>
  <c r="F29" i="17"/>
  <c r="M29" i="17"/>
  <c r="L103" i="9"/>
  <c r="M83" i="17"/>
  <c r="J82" i="17"/>
  <c r="K83" i="17"/>
  <c r="I84" i="17"/>
  <c r="I83" i="17"/>
  <c r="L84" i="17"/>
  <c r="N82" i="17"/>
  <c r="G84" i="17"/>
  <c r="G83" i="17"/>
  <c r="G82" i="17"/>
  <c r="H84" i="17"/>
  <c r="F83" i="17"/>
  <c r="E84" i="17"/>
  <c r="I72" i="8"/>
  <c r="D57" i="17"/>
  <c r="O57" i="17" s="1"/>
  <c r="J103" i="9"/>
  <c r="M103" i="9"/>
  <c r="L8" i="11" s="1"/>
  <c r="AM9" i="8"/>
  <c r="AM7" i="8"/>
  <c r="G115" i="8"/>
  <c r="I26" i="19"/>
  <c r="I27" i="19"/>
  <c r="E190" i="8"/>
  <c r="H103" i="9"/>
  <c r="H29" i="17"/>
  <c r="F192" i="8"/>
  <c r="E192" i="8"/>
  <c r="G58" i="8"/>
  <c r="E58" i="8"/>
  <c r="F58" i="8"/>
  <c r="P115" i="9"/>
  <c r="G64" i="8" s="1"/>
  <c r="AN9" i="8"/>
  <c r="E124" i="8"/>
  <c r="I29" i="17"/>
  <c r="G29" i="17"/>
  <c r="O103" i="9"/>
  <c r="Q12" i="9"/>
  <c r="P12" i="9"/>
  <c r="O12" i="9"/>
  <c r="I12" i="9"/>
  <c r="K12" i="9"/>
  <c r="J18" i="11" s="1"/>
  <c r="N12" i="9"/>
  <c r="M12" i="9"/>
  <c r="L12" i="9"/>
  <c r="J12" i="9"/>
  <c r="I18" i="11" s="1"/>
  <c r="H12" i="9"/>
  <c r="H4" i="4"/>
  <c r="J4" i="9"/>
  <c r="G85" i="8"/>
  <c r="G230" i="8"/>
  <c r="H28" i="8"/>
  <c r="G122" i="8"/>
  <c r="G170" i="8"/>
  <c r="G215" i="8" s="1"/>
  <c r="G190" i="8"/>
  <c r="F190" i="8"/>
  <c r="G36" i="8"/>
  <c r="D117" i="17"/>
  <c r="F36" i="8"/>
  <c r="G97" i="8"/>
  <c r="F106" i="8"/>
  <c r="E106" i="8"/>
  <c r="D99" i="17"/>
  <c r="E36" i="8"/>
  <c r="E37" i="8" s="1"/>
  <c r="N84" i="17" a="1"/>
  <c r="M84" i="17" a="1"/>
  <c r="K84" i="17" a="1"/>
  <c r="J84" i="17" a="1"/>
  <c r="H82" i="17" a="1"/>
  <c r="M82" i="17" a="1"/>
  <c r="I82" i="17" a="1"/>
  <c r="N83" i="17" a="1"/>
  <c r="E82" i="17" a="1"/>
  <c r="K82" i="17" a="1"/>
  <c r="L82" i="17" a="1"/>
  <c r="H83" i="17" a="1"/>
  <c r="F82" i="17" a="1"/>
  <c r="E83" i="17" a="1"/>
  <c r="F84" i="17" a="1"/>
  <c r="J83" i="17" a="1"/>
  <c r="L83" i="17" a="1"/>
  <c r="J23" i="8" l="1"/>
  <c r="G37" i="8"/>
  <c r="F37" i="8"/>
  <c r="M8" i="11"/>
  <c r="M6" i="11"/>
  <c r="G98" i="8"/>
  <c r="F107" i="8"/>
  <c r="R17" i="8"/>
  <c r="Q21" i="8"/>
  <c r="Q72" i="8"/>
  <c r="Z19" i="8"/>
  <c r="G236" i="8"/>
  <c r="F64" i="8"/>
  <c r="E64" i="8"/>
  <c r="H51" i="8"/>
  <c r="H52" i="8" s="1"/>
  <c r="H18" i="11"/>
  <c r="H43" i="11"/>
  <c r="H44" i="11"/>
  <c r="G18" i="11"/>
  <c r="G43" i="11"/>
  <c r="G44" i="11"/>
  <c r="H45" i="11"/>
  <c r="J44" i="11"/>
  <c r="J43" i="11"/>
  <c r="L18" i="11"/>
  <c r="L43" i="11"/>
  <c r="L44" i="11"/>
  <c r="K18" i="11"/>
  <c r="K43" i="11"/>
  <c r="K44" i="11"/>
  <c r="J45" i="11"/>
  <c r="G45" i="11"/>
  <c r="I45" i="11"/>
  <c r="L45" i="11"/>
  <c r="Q35" i="11"/>
  <c r="Q34" i="11"/>
  <c r="P18" i="11"/>
  <c r="P29" i="19" s="1"/>
  <c r="P43" i="11"/>
  <c r="P49" i="19" s="1"/>
  <c r="P44" i="11"/>
  <c r="P45" i="11"/>
  <c r="O43" i="11"/>
  <c r="O49" i="19" s="1"/>
  <c r="O45" i="11"/>
  <c r="O44" i="11"/>
  <c r="O18" i="11"/>
  <c r="O29" i="19" s="1"/>
  <c r="H140" i="8"/>
  <c r="N44" i="11"/>
  <c r="N18" i="11"/>
  <c r="N29" i="19" s="1"/>
  <c r="N43" i="11"/>
  <c r="N49" i="19" s="1"/>
  <c r="N45" i="11"/>
  <c r="M43" i="11"/>
  <c r="M18" i="11"/>
  <c r="M44" i="11"/>
  <c r="M45" i="11"/>
  <c r="I95" i="8"/>
  <c r="L141" i="8"/>
  <c r="M141" i="8" s="1"/>
  <c r="N141" i="8" s="1"/>
  <c r="I120" i="8"/>
  <c r="J120" i="8" s="1"/>
  <c r="K120" i="8" s="1"/>
  <c r="K103" i="8"/>
  <c r="L103" i="8" s="1"/>
  <c r="L55" i="8"/>
  <c r="M55" i="8" s="1"/>
  <c r="N6" i="11"/>
  <c r="N18" i="19" s="1"/>
  <c r="N8" i="11"/>
  <c r="N20" i="19" s="1"/>
  <c r="H8" i="11"/>
  <c r="H6" i="11"/>
  <c r="I6" i="11"/>
  <c r="I8" i="11"/>
  <c r="J8" i="11"/>
  <c r="J6" i="11"/>
  <c r="G8" i="11"/>
  <c r="G6" i="11"/>
  <c r="K8" i="11"/>
  <c r="K6" i="11"/>
  <c r="J4" i="27"/>
  <c r="B13" i="27"/>
  <c r="B4" i="27"/>
  <c r="L6" i="11"/>
  <c r="F6" i="11"/>
  <c r="F8" i="11"/>
  <c r="N83" i="17"/>
  <c r="I82" i="17"/>
  <c r="C11" i="27"/>
  <c r="C10" i="27"/>
  <c r="C7" i="27"/>
  <c r="C8" i="27"/>
  <c r="H83" i="17"/>
  <c r="J83" i="17"/>
  <c r="F84" i="17"/>
  <c r="J84" i="17"/>
  <c r="M84" i="17"/>
  <c r="H82" i="17"/>
  <c r="K82" i="17"/>
  <c r="K84" i="17"/>
  <c r="L38" i="17"/>
  <c r="L59" i="17" s="1"/>
  <c r="L44" i="17"/>
  <c r="L50" i="17"/>
  <c r="K80" i="17"/>
  <c r="L71" i="17"/>
  <c r="F80" i="17"/>
  <c r="L80" i="17"/>
  <c r="K50" i="17"/>
  <c r="K71" i="17"/>
  <c r="N80" i="17"/>
  <c r="E38" i="17"/>
  <c r="E59" i="17" s="1"/>
  <c r="M50" i="17"/>
  <c r="M80" i="17"/>
  <c r="K38" i="17"/>
  <c r="K59" i="17" s="1"/>
  <c r="K44" i="17"/>
  <c r="E50" i="17"/>
  <c r="E71" i="17"/>
  <c r="E80" i="17"/>
  <c r="M38" i="17"/>
  <c r="M59" i="17" s="1"/>
  <c r="L83" i="17"/>
  <c r="F82" i="17"/>
  <c r="N84" i="17"/>
  <c r="L82" i="17"/>
  <c r="F44" i="17"/>
  <c r="F50" i="17"/>
  <c r="F71" i="17"/>
  <c r="N44" i="17"/>
  <c r="M44" i="17"/>
  <c r="N38" i="17"/>
  <c r="N59" i="17" s="1"/>
  <c r="M71" i="17"/>
  <c r="N50" i="17"/>
  <c r="E83" i="17"/>
  <c r="M82" i="17"/>
  <c r="E82" i="17"/>
  <c r="F38" i="17"/>
  <c r="F59" i="17" s="1"/>
  <c r="N71" i="17"/>
  <c r="E44" i="17"/>
  <c r="D29" i="17"/>
  <c r="I197" i="8"/>
  <c r="J72" i="8"/>
  <c r="G107" i="8"/>
  <c r="D56" i="17"/>
  <c r="O56" i="17" s="1"/>
  <c r="G80" i="17"/>
  <c r="G71" i="17"/>
  <c r="G50" i="17"/>
  <c r="G44" i="17"/>
  <c r="G38" i="17"/>
  <c r="G59" i="17" s="1"/>
  <c r="I80" i="17"/>
  <c r="I71" i="17"/>
  <c r="I50" i="17"/>
  <c r="I44" i="17"/>
  <c r="I38" i="17"/>
  <c r="I59" i="17" s="1"/>
  <c r="H80" i="17"/>
  <c r="H71" i="17"/>
  <c r="H50" i="17"/>
  <c r="H44" i="17"/>
  <c r="H38" i="17"/>
  <c r="H59" i="17" s="1"/>
  <c r="J16" i="9"/>
  <c r="I9" i="11" s="1"/>
  <c r="I16" i="9"/>
  <c r="H9" i="11" s="1"/>
  <c r="Q16" i="9"/>
  <c r="L16" i="9"/>
  <c r="O16" i="9"/>
  <c r="E236" i="8"/>
  <c r="E186" i="8"/>
  <c r="M16" i="9"/>
  <c r="P16" i="9"/>
  <c r="N16" i="9"/>
  <c r="M9" i="11" s="1"/>
  <c r="G16" i="9"/>
  <c r="H16" i="9"/>
  <c r="K16" i="9"/>
  <c r="P103" i="9"/>
  <c r="Q103" i="9"/>
  <c r="P6" i="11" s="1"/>
  <c r="E107" i="8"/>
  <c r="F92" i="8"/>
  <c r="F172" i="8"/>
  <c r="F115" i="8"/>
  <c r="I4" i="4"/>
  <c r="J12" i="4" s="1"/>
  <c r="K4" i="9"/>
  <c r="G240" i="8"/>
  <c r="E240" i="8"/>
  <c r="H85" i="8"/>
  <c r="I28" i="8"/>
  <c r="H170" i="8"/>
  <c r="H215" i="8" s="1"/>
  <c r="H122" i="8"/>
  <c r="H230" i="8"/>
  <c r="I230" i="8" s="1"/>
  <c r="J230" i="8" s="1"/>
  <c r="K230" i="8" s="1"/>
  <c r="L230" i="8" s="1"/>
  <c r="M230" i="8" s="1"/>
  <c r="N230" i="8" s="1"/>
  <c r="O230" i="8" s="1"/>
  <c r="P230" i="8" s="1"/>
  <c r="Q230" i="8" s="1"/>
  <c r="R230" i="8" s="1"/>
  <c r="S230" i="8" s="1"/>
  <c r="T230" i="8" s="1"/>
  <c r="U230" i="8" s="1"/>
  <c r="V230" i="8" s="1"/>
  <c r="W230" i="8" s="1"/>
  <c r="X230" i="8" s="1"/>
  <c r="Y230" i="8" s="1"/>
  <c r="Z230" i="8" s="1"/>
  <c r="G257" i="8"/>
  <c r="H257" i="8" s="1"/>
  <c r="I257" i="8" s="1"/>
  <c r="J257" i="8" s="1"/>
  <c r="K257" i="8" s="1"/>
  <c r="L257" i="8" s="1"/>
  <c r="M257" i="8" s="1"/>
  <c r="N257" i="8" s="1"/>
  <c r="O257" i="8" s="1"/>
  <c r="P257" i="8" s="1"/>
  <c r="Q257" i="8" s="1"/>
  <c r="F240" i="8"/>
  <c r="F51" i="11"/>
  <c r="F50" i="11"/>
  <c r="F48" i="8"/>
  <c r="K50" i="11"/>
  <c r="O51" i="11"/>
  <c r="O56" i="19" s="1"/>
  <c r="M51" i="11"/>
  <c r="I50" i="11"/>
  <c r="D100" i="17"/>
  <c r="G6" i="17" s="1"/>
  <c r="G18" i="17" s="1"/>
  <c r="G19" i="17" s="1"/>
  <c r="M50" i="11"/>
  <c r="J50" i="11"/>
  <c r="L51" i="11"/>
  <c r="L50" i="11"/>
  <c r="P51" i="11"/>
  <c r="P56" i="19" s="1"/>
  <c r="N51" i="11"/>
  <c r="N56" i="19" s="1"/>
  <c r="D95" i="17"/>
  <c r="F6" i="17" s="1"/>
  <c r="F18" i="17" s="1"/>
  <c r="F19" i="17" s="1"/>
  <c r="G48" i="8"/>
  <c r="K51" i="11"/>
  <c r="E48" i="8"/>
  <c r="O50" i="11"/>
  <c r="O55" i="19" s="1"/>
  <c r="I51" i="11"/>
  <c r="H50" i="11"/>
  <c r="H51" i="11"/>
  <c r="J51" i="11"/>
  <c r="N50" i="11"/>
  <c r="N55" i="19" s="1"/>
  <c r="G51" i="11"/>
  <c r="G50" i="11"/>
  <c r="P50" i="11"/>
  <c r="P55" i="19" s="1"/>
  <c r="D82" i="17" a="1"/>
  <c r="D84" i="17" a="1"/>
  <c r="D83" i="17" a="1"/>
  <c r="K23" i="8" l="1"/>
  <c r="L23" i="8" s="1"/>
  <c r="M23" i="8" s="1"/>
  <c r="N23" i="8" s="1"/>
  <c r="G41" i="8"/>
  <c r="J7" i="4"/>
  <c r="J4" i="4"/>
  <c r="J10" i="4"/>
  <c r="J8" i="4"/>
  <c r="J6" i="4"/>
  <c r="J14" i="4"/>
  <c r="J13" i="4"/>
  <c r="J95" i="8"/>
  <c r="K95" i="8" s="1"/>
  <c r="L9" i="11"/>
  <c r="M22" i="9"/>
  <c r="R72" i="8"/>
  <c r="S17" i="8"/>
  <c r="R21" i="8"/>
  <c r="G19" i="11"/>
  <c r="G9" i="11"/>
  <c r="L22" i="9"/>
  <c r="L24" i="9" s="1"/>
  <c r="K19" i="11"/>
  <c r="J22" i="9"/>
  <c r="J24" i="9" s="1"/>
  <c r="I19" i="11"/>
  <c r="K9" i="11"/>
  <c r="K22" i="9"/>
  <c r="J19" i="11"/>
  <c r="F9" i="11"/>
  <c r="F19" i="11"/>
  <c r="H19" i="11"/>
  <c r="J9" i="11"/>
  <c r="M24" i="9"/>
  <c r="L19" i="11"/>
  <c r="P51" i="19"/>
  <c r="P50" i="19"/>
  <c r="P19" i="11"/>
  <c r="P30" i="19" s="1"/>
  <c r="O19" i="11"/>
  <c r="O30" i="19" s="1"/>
  <c r="O51" i="19"/>
  <c r="O50" i="19"/>
  <c r="N19" i="11"/>
  <c r="N30" i="19" s="1"/>
  <c r="N9" i="11"/>
  <c r="N21" i="19" s="1"/>
  <c r="N50" i="19"/>
  <c r="N51" i="19"/>
  <c r="N22" i="9"/>
  <c r="N24" i="9" s="1"/>
  <c r="M19" i="11"/>
  <c r="M103" i="8"/>
  <c r="N103" i="8" s="1"/>
  <c r="O141" i="8"/>
  <c r="L120" i="8"/>
  <c r="N55" i="8"/>
  <c r="P9" i="11"/>
  <c r="P21" i="19" s="1"/>
  <c r="P18" i="19"/>
  <c r="P8" i="11"/>
  <c r="P20" i="19" s="1"/>
  <c r="O8" i="11"/>
  <c r="O20" i="19" s="1"/>
  <c r="O6" i="11"/>
  <c r="O18" i="19" s="1"/>
  <c r="O9" i="11"/>
  <c r="O21" i="19" s="1"/>
  <c r="R34" i="11"/>
  <c r="R35" i="11"/>
  <c r="G22" i="9"/>
  <c r="D83" i="17"/>
  <c r="O83" i="17" s="1"/>
  <c r="D84" i="17"/>
  <c r="O84" i="17" s="1"/>
  <c r="D82" i="17"/>
  <c r="O82" i="17" s="1"/>
  <c r="D71" i="17"/>
  <c r="D38" i="17"/>
  <c r="D59" i="17" s="1"/>
  <c r="D80" i="17"/>
  <c r="D44" i="17"/>
  <c r="D50" i="17"/>
  <c r="J197" i="8"/>
  <c r="K72" i="8"/>
  <c r="F49" i="8"/>
  <c r="E49" i="8"/>
  <c r="G49" i="8"/>
  <c r="K24" i="9"/>
  <c r="Q22" i="9"/>
  <c r="G77" i="8" s="1"/>
  <c r="G80" i="8" s="1"/>
  <c r="H22" i="9"/>
  <c r="I22" i="9"/>
  <c r="H124" i="8"/>
  <c r="H186" i="8" s="1"/>
  <c r="P22" i="9"/>
  <c r="O22" i="9"/>
  <c r="G173" i="8"/>
  <c r="L72" i="8"/>
  <c r="L4" i="9"/>
  <c r="E173" i="8"/>
  <c r="I85" i="8"/>
  <c r="J28" i="8"/>
  <c r="I122" i="8"/>
  <c r="I170" i="8"/>
  <c r="I215" i="8" s="1"/>
  <c r="F49" i="11"/>
  <c r="M49" i="11"/>
  <c r="F60" i="8"/>
  <c r="G60" i="8"/>
  <c r="D121" i="17"/>
  <c r="L6" i="17" s="1" a="1"/>
  <c r="L6" i="17" s="1"/>
  <c r="L49" i="11"/>
  <c r="H49" i="11"/>
  <c r="N49" i="11"/>
  <c r="N54" i="19" s="1"/>
  <c r="E60" i="8"/>
  <c r="J49" i="11"/>
  <c r="O49" i="11"/>
  <c r="O54" i="19" s="1"/>
  <c r="G49" i="11"/>
  <c r="K49" i="11"/>
  <c r="D101" i="17"/>
  <c r="D31" i="17" s="1"/>
  <c r="P49" i="11"/>
  <c r="P54" i="19" s="1"/>
  <c r="I49" i="11"/>
  <c r="G44" i="8" l="1"/>
  <c r="H41" i="8"/>
  <c r="H40" i="8" s="1"/>
  <c r="O23" i="8"/>
  <c r="P23" i="8" s="1"/>
  <c r="M6" i="17" a="1"/>
  <c r="M6" i="17" s="1"/>
  <c r="K6" i="17" a="1"/>
  <c r="K6" i="17" s="1"/>
  <c r="J6" i="17" a="1"/>
  <c r="J6" i="17" s="1"/>
  <c r="S21" i="8"/>
  <c r="T17" i="8"/>
  <c r="S72" i="8"/>
  <c r="P141" i="8"/>
  <c r="Q141" i="8" s="1"/>
  <c r="R141" i="8" s="1"/>
  <c r="O55" i="8"/>
  <c r="P55" i="8" s="1"/>
  <c r="Q55" i="8" s="1"/>
  <c r="K56" i="11"/>
  <c r="K57" i="11"/>
  <c r="K15" i="11"/>
  <c r="K23" i="11"/>
  <c r="K10" i="11"/>
  <c r="K116" i="9"/>
  <c r="K117" i="9" s="1"/>
  <c r="J20" i="11"/>
  <c r="K20" i="11"/>
  <c r="L116" i="9"/>
  <c r="L117" i="9" s="1"/>
  <c r="H20" i="11"/>
  <c r="I116" i="9"/>
  <c r="I117" i="9" s="1"/>
  <c r="G20" i="11"/>
  <c r="H116" i="9"/>
  <c r="H117" i="9" s="1"/>
  <c r="G116" i="9"/>
  <c r="G117" i="9" s="1"/>
  <c r="F20" i="11"/>
  <c r="J56" i="11"/>
  <c r="J57" i="11"/>
  <c r="J15" i="11"/>
  <c r="J23" i="11"/>
  <c r="J10" i="11"/>
  <c r="I56" i="11"/>
  <c r="I57" i="11"/>
  <c r="I15" i="11"/>
  <c r="I23" i="11"/>
  <c r="I10" i="11"/>
  <c r="J116" i="9"/>
  <c r="J117" i="9" s="1"/>
  <c r="I20" i="11"/>
  <c r="L57" i="11"/>
  <c r="L23" i="11"/>
  <c r="L15" i="11"/>
  <c r="L56" i="11"/>
  <c r="L10" i="11"/>
  <c r="L20" i="11"/>
  <c r="M116" i="9"/>
  <c r="M117" i="9" s="1"/>
  <c r="P20" i="11"/>
  <c r="Q116" i="9"/>
  <c r="Q117" i="9" s="1"/>
  <c r="P116" i="9"/>
  <c r="P117" i="9" s="1"/>
  <c r="O20" i="11"/>
  <c r="N20" i="11"/>
  <c r="O116" i="9"/>
  <c r="O117" i="9" s="1"/>
  <c r="M56" i="11"/>
  <c r="M23" i="11"/>
  <c r="M15" i="11"/>
  <c r="M57" i="11"/>
  <c r="M10" i="11"/>
  <c r="N116" i="9"/>
  <c r="N117" i="9" s="1"/>
  <c r="M20" i="11"/>
  <c r="M14" i="17" a="1"/>
  <c r="M14" i="17" s="1"/>
  <c r="L14" i="17" a="1"/>
  <c r="L14" i="17" s="1"/>
  <c r="K14" i="17" a="1"/>
  <c r="K14" i="17" s="1"/>
  <c r="J14" i="17" a="1"/>
  <c r="J14" i="17" s="1"/>
  <c r="M120" i="8"/>
  <c r="N120" i="8" s="1"/>
  <c r="O103" i="8"/>
  <c r="G24" i="9"/>
  <c r="F10" i="11" s="1"/>
  <c r="G66" i="9"/>
  <c r="F63" i="11" s="1"/>
  <c r="O31" i="17"/>
  <c r="D41" i="17"/>
  <c r="O41" i="17" s="1"/>
  <c r="D40" i="17"/>
  <c r="O40" i="17" s="1"/>
  <c r="K197" i="8"/>
  <c r="G61" i="8"/>
  <c r="F61" i="8"/>
  <c r="E61" i="8"/>
  <c r="G232" i="8"/>
  <c r="G178" i="8"/>
  <c r="P24" i="9"/>
  <c r="L66" i="9"/>
  <c r="K63" i="11" s="1"/>
  <c r="I24" i="9"/>
  <c r="Q24" i="9"/>
  <c r="N66" i="9"/>
  <c r="M63" i="11" s="1"/>
  <c r="D42" i="17"/>
  <c r="O42" i="17" s="1"/>
  <c r="L63" i="11"/>
  <c r="K66" i="9"/>
  <c r="J63" i="11" s="1"/>
  <c r="J66" i="9"/>
  <c r="I63" i="11" s="1"/>
  <c r="O24" i="9"/>
  <c r="H24" i="9"/>
  <c r="E232" i="8"/>
  <c r="E178" i="8"/>
  <c r="F232" i="8"/>
  <c r="F178" i="8"/>
  <c r="M72" i="8"/>
  <c r="M4" i="9"/>
  <c r="J85" i="8"/>
  <c r="J122" i="8"/>
  <c r="K28" i="8"/>
  <c r="J170" i="8"/>
  <c r="J215" i="8" s="1"/>
  <c r="H236" i="8"/>
  <c r="I32" i="3"/>
  <c r="I21" i="3"/>
  <c r="D103" i="17"/>
  <c r="E77" i="8"/>
  <c r="F77" i="8"/>
  <c r="F80" i="8" s="1"/>
  <c r="Q23" i="8" l="1"/>
  <c r="T72" i="8"/>
  <c r="U17" i="8"/>
  <c r="T21" i="8"/>
  <c r="R55" i="8"/>
  <c r="S141" i="8"/>
  <c r="T141" i="8" s="1"/>
  <c r="U141" i="8" s="1"/>
  <c r="G57" i="11"/>
  <c r="G15" i="11"/>
  <c r="G23" i="11"/>
  <c r="G56" i="11"/>
  <c r="G10" i="11"/>
  <c r="H23" i="11"/>
  <c r="H56" i="11"/>
  <c r="H57" i="11"/>
  <c r="H15" i="11"/>
  <c r="H10" i="11"/>
  <c r="F57" i="11"/>
  <c r="F15" i="11"/>
  <c r="F23" i="11"/>
  <c r="F56" i="11"/>
  <c r="L18" i="17"/>
  <c r="L19" i="17" s="1"/>
  <c r="P56" i="11"/>
  <c r="P57" i="11"/>
  <c r="P23" i="11"/>
  <c r="P33" i="19" s="1"/>
  <c r="P15" i="11"/>
  <c r="P26" i="19" s="1"/>
  <c r="P10" i="11"/>
  <c r="P22" i="19" s="1"/>
  <c r="O15" i="11"/>
  <c r="O26" i="19" s="1"/>
  <c r="O57" i="11"/>
  <c r="O56" i="11"/>
  <c r="O23" i="11"/>
  <c r="O33" i="19" s="1"/>
  <c r="O10" i="11"/>
  <c r="O22" i="19" s="1"/>
  <c r="N15" i="11"/>
  <c r="N26" i="19" s="1"/>
  <c r="N56" i="11"/>
  <c r="N57" i="11"/>
  <c r="N23" i="11"/>
  <c r="N33" i="19" s="1"/>
  <c r="N10" i="11"/>
  <c r="N22" i="19" s="1"/>
  <c r="G184" i="8"/>
  <c r="AK9" i="8" s="1"/>
  <c r="M18" i="17"/>
  <c r="M19" i="17" s="1"/>
  <c r="E25" i="17"/>
  <c r="K25" i="17" s="1"/>
  <c r="N25" i="17" s="1" a="1"/>
  <c r="N25" i="17" s="1"/>
  <c r="E26" i="17"/>
  <c r="K26" i="17" s="1"/>
  <c r="N26" i="17" s="1" a="1"/>
  <c r="N26" i="17" s="1"/>
  <c r="E27" i="17"/>
  <c r="K27" i="17" s="1"/>
  <c r="N27" i="17" s="1" a="1"/>
  <c r="N27" i="17" s="1"/>
  <c r="E24" i="17"/>
  <c r="K24" i="17" s="1"/>
  <c r="N24" i="17" s="1" a="1"/>
  <c r="N24" i="17" s="1"/>
  <c r="K18" i="17"/>
  <c r="K19" i="17" s="1"/>
  <c r="D24" i="17"/>
  <c r="J24" i="17" s="1"/>
  <c r="M24" i="17" s="1" a="1"/>
  <c r="M24" i="17" s="1"/>
  <c r="D26" i="17"/>
  <c r="J26" i="17" s="1"/>
  <c r="M26" i="17" s="1" a="1"/>
  <c r="M26" i="17" s="1"/>
  <c r="D25" i="17"/>
  <c r="J25" i="17" s="1"/>
  <c r="M25" i="17" s="1" a="1"/>
  <c r="M25" i="17" s="1"/>
  <c r="D27" i="17"/>
  <c r="J27" i="17" s="1"/>
  <c r="M27" i="17" s="1" a="1"/>
  <c r="M27" i="17" s="1"/>
  <c r="J18" i="17"/>
  <c r="J19" i="17" s="1"/>
  <c r="P103" i="8"/>
  <c r="O120" i="8"/>
  <c r="G74" i="9"/>
  <c r="P66" i="9"/>
  <c r="D34" i="17"/>
  <c r="O34" i="17" s="1"/>
  <c r="L197" i="8"/>
  <c r="F28" i="19"/>
  <c r="F26" i="19"/>
  <c r="F27" i="19"/>
  <c r="G179" i="8"/>
  <c r="F179" i="8"/>
  <c r="I66" i="9"/>
  <c r="H63" i="11" s="1"/>
  <c r="H66" i="9"/>
  <c r="G63" i="11" s="1"/>
  <c r="J74" i="9"/>
  <c r="K74" i="9"/>
  <c r="N74" i="9"/>
  <c r="Q66" i="9"/>
  <c r="P63" i="11" s="1"/>
  <c r="P42" i="19" s="1"/>
  <c r="M74" i="9"/>
  <c r="L74" i="9"/>
  <c r="O66" i="9"/>
  <c r="F184" i="8"/>
  <c r="E80" i="8"/>
  <c r="G21" i="6" s="1"/>
  <c r="N72" i="8"/>
  <c r="N4" i="9"/>
  <c r="K85" i="8"/>
  <c r="K122" i="8"/>
  <c r="L28" i="8"/>
  <c r="K170" i="8"/>
  <c r="K215" i="8" s="1"/>
  <c r="G82" i="8"/>
  <c r="F82" i="8"/>
  <c r="D96" i="17"/>
  <c r="D105" i="17"/>
  <c r="O6" i="17" s="1" a="1"/>
  <c r="O6" i="17" s="1"/>
  <c r="E82" i="8"/>
  <c r="R23" i="8" l="1"/>
  <c r="D62" i="17"/>
  <c r="O62" i="17" s="1"/>
  <c r="N6" i="17" a="1"/>
  <c r="N6" i="17" s="1"/>
  <c r="N18" i="17" s="1"/>
  <c r="N19" i="17" s="1"/>
  <c r="U72" i="8"/>
  <c r="V17" i="8"/>
  <c r="U21" i="8"/>
  <c r="P120" i="8"/>
  <c r="Q103" i="8"/>
  <c r="V141" i="8"/>
  <c r="W141" i="8" s="1"/>
  <c r="S55" i="8"/>
  <c r="T55" i="8" s="1"/>
  <c r="P74" i="9"/>
  <c r="F131" i="8" s="1"/>
  <c r="O63" i="11"/>
  <c r="O42" i="19" s="1"/>
  <c r="O74" i="9"/>
  <c r="E131" i="8" s="1"/>
  <c r="N63" i="11"/>
  <c r="N42" i="19" s="1"/>
  <c r="H6" i="17"/>
  <c r="F150" i="8"/>
  <c r="F153" i="8"/>
  <c r="G153" i="8"/>
  <c r="G150" i="8"/>
  <c r="I6" i="17"/>
  <c r="E150" i="8"/>
  <c r="E153" i="8"/>
  <c r="E184" i="8"/>
  <c r="AK7" i="8" s="1"/>
  <c r="D63" i="17"/>
  <c r="O63" i="17" s="1"/>
  <c r="D33" i="17"/>
  <c r="O33" i="17" s="1"/>
  <c r="D32" i="17"/>
  <c r="O32" i="17" s="1"/>
  <c r="M197" i="8"/>
  <c r="H28" i="19"/>
  <c r="G194" i="8"/>
  <c r="AG9" i="8" s="1"/>
  <c r="G83" i="8"/>
  <c r="G234" i="8"/>
  <c r="G246" i="8" s="1"/>
  <c r="E83" i="8"/>
  <c r="E234" i="8"/>
  <c r="E246" i="8" s="1"/>
  <c r="E161" i="8" s="1"/>
  <c r="H74" i="9"/>
  <c r="I74" i="9"/>
  <c r="F234" i="8"/>
  <c r="F246" i="8" s="1"/>
  <c r="F161" i="8" s="1"/>
  <c r="F83" i="8"/>
  <c r="Q74" i="9"/>
  <c r="AK8" i="8"/>
  <c r="F194" i="8"/>
  <c r="AG8" i="8" s="1"/>
  <c r="O72" i="8"/>
  <c r="O4" i="9"/>
  <c r="M28" i="8"/>
  <c r="L85" i="8"/>
  <c r="L122" i="8"/>
  <c r="L170" i="8"/>
  <c r="L215" i="8" s="1"/>
  <c r="S23" i="8" l="1"/>
  <c r="H158" i="8"/>
  <c r="G161" i="8"/>
  <c r="V21" i="8"/>
  <c r="W17" i="8"/>
  <c r="V72" i="8"/>
  <c r="U55" i="8"/>
  <c r="V55" i="8" s="1"/>
  <c r="W55" i="8" s="1"/>
  <c r="R103" i="8"/>
  <c r="Q120" i="8"/>
  <c r="X141" i="8"/>
  <c r="Y141" i="8" s="1"/>
  <c r="Z141" i="8" s="1"/>
  <c r="E194" i="8"/>
  <c r="AG7" i="8" s="1"/>
  <c r="F260" i="8"/>
  <c r="F261" i="8" s="1"/>
  <c r="G260" i="8"/>
  <c r="G261" i="8" s="1"/>
  <c r="E260" i="8"/>
  <c r="E261" i="8" s="1"/>
  <c r="H18" i="17"/>
  <c r="H19" i="17" s="1"/>
  <c r="H160" i="8"/>
  <c r="I18" i="17"/>
  <c r="I19" i="17" s="1"/>
  <c r="F27" i="17"/>
  <c r="L27" i="17" s="1"/>
  <c r="O27" i="17" s="1" a="1"/>
  <c r="O27" i="17" s="1"/>
  <c r="F26" i="17"/>
  <c r="L26" i="17" s="1"/>
  <c r="O26" i="17" s="1" a="1"/>
  <c r="O26" i="17" s="1"/>
  <c r="F25" i="17"/>
  <c r="L25" i="17" s="1"/>
  <c r="O25" i="17" s="1" a="1"/>
  <c r="O25" i="17" s="1"/>
  <c r="F24" i="17"/>
  <c r="L24" i="17" s="1"/>
  <c r="O24" i="17" s="1" a="1"/>
  <c r="O24" i="17" s="1"/>
  <c r="O18" i="17"/>
  <c r="O19" i="17" s="1"/>
  <c r="N197" i="8"/>
  <c r="H26" i="19"/>
  <c r="H27" i="19"/>
  <c r="AH8" i="8"/>
  <c r="B93" i="17"/>
  <c r="AH7" i="8"/>
  <c r="AH9" i="8"/>
  <c r="P72" i="8"/>
  <c r="P4" i="9"/>
  <c r="M85" i="8"/>
  <c r="M122" i="8"/>
  <c r="N28" i="8"/>
  <c r="M170" i="8"/>
  <c r="M215" i="8" s="1"/>
  <c r="G131" i="8"/>
  <c r="T23" i="8" l="1"/>
  <c r="W21" i="8"/>
  <c r="X17" i="8"/>
  <c r="W72" i="8"/>
  <c r="S103" i="8"/>
  <c r="T103" i="8" s="1"/>
  <c r="R120" i="8"/>
  <c r="X55" i="8"/>
  <c r="G26" i="19"/>
  <c r="Q61" i="11"/>
  <c r="H244" i="8"/>
  <c r="AL10" i="8" s="1"/>
  <c r="H4" i="17"/>
  <c r="H117" i="8"/>
  <c r="AA206" i="8" s="1"/>
  <c r="O197" i="8"/>
  <c r="G27" i="19"/>
  <c r="D4" i="17"/>
  <c r="B94" i="17"/>
  <c r="Q4" i="9"/>
  <c r="N122" i="8"/>
  <c r="O28" i="8"/>
  <c r="N85" i="8"/>
  <c r="N170" i="8"/>
  <c r="N215" i="8" s="1"/>
  <c r="U23" i="8" l="1"/>
  <c r="X21" i="8"/>
  <c r="X72" i="8"/>
  <c r="Y17" i="8"/>
  <c r="U103" i="8"/>
  <c r="V103" i="8" s="1"/>
  <c r="Y55" i="8"/>
  <c r="Z55" i="8" s="1"/>
  <c r="S120" i="8"/>
  <c r="P197" i="8"/>
  <c r="Q197" i="8" s="1"/>
  <c r="G28" i="19"/>
  <c r="B97" i="17"/>
  <c r="I4" i="17"/>
  <c r="E4" i="17"/>
  <c r="R88" i="9"/>
  <c r="R87" i="9"/>
  <c r="R86" i="9"/>
  <c r="R89" i="9"/>
  <c r="O122" i="8"/>
  <c r="P28" i="8"/>
  <c r="Q28" i="8" s="1"/>
  <c r="O85" i="8"/>
  <c r="O170" i="8"/>
  <c r="O215" i="8" s="1"/>
  <c r="V23" i="8" l="1"/>
  <c r="W103" i="8"/>
  <c r="X103" i="8" s="1"/>
  <c r="Y21" i="8"/>
  <c r="Z17" i="8"/>
  <c r="Y72" i="8"/>
  <c r="Q170" i="8"/>
  <c r="Q215" i="8" s="1"/>
  <c r="R28" i="8"/>
  <c r="Q85" i="8"/>
  <c r="Q122" i="8"/>
  <c r="T120" i="8"/>
  <c r="R197" i="8"/>
  <c r="E172" i="8"/>
  <c r="E179" i="8"/>
  <c r="E92" i="8"/>
  <c r="E115" i="8"/>
  <c r="P170" i="8"/>
  <c r="P215" i="8" s="1"/>
  <c r="P85" i="8"/>
  <c r="P122" i="8"/>
  <c r="W23" i="8" l="1"/>
  <c r="F173" i="8"/>
  <c r="Z21" i="8"/>
  <c r="Z72" i="8"/>
  <c r="R170" i="8"/>
  <c r="R215" i="8" s="1"/>
  <c r="S28" i="8"/>
  <c r="R122" i="8"/>
  <c r="R85" i="8"/>
  <c r="Y103" i="8"/>
  <c r="U120" i="8"/>
  <c r="S197" i="8"/>
  <c r="Q22" i="11"/>
  <c r="Q32" i="19" s="1"/>
  <c r="X23" i="8" l="1"/>
  <c r="F44" i="8"/>
  <c r="Z103" i="8"/>
  <c r="T28" i="8"/>
  <c r="S170" i="8"/>
  <c r="S215" i="8" s="1"/>
  <c r="S85" i="8"/>
  <c r="S122" i="8"/>
  <c r="V120" i="8"/>
  <c r="W120" i="8" s="1"/>
  <c r="T197" i="8"/>
  <c r="R33" i="11"/>
  <c r="R36" i="11" s="1"/>
  <c r="R41" i="19" s="1"/>
  <c r="Q33" i="11"/>
  <c r="Q36" i="11" s="1"/>
  <c r="Y23" i="8" l="1"/>
  <c r="T122" i="8"/>
  <c r="T170" i="8"/>
  <c r="T215" i="8" s="1"/>
  <c r="U28" i="8"/>
  <c r="T85" i="8"/>
  <c r="X120" i="8"/>
  <c r="U197" i="8"/>
  <c r="E16" i="27"/>
  <c r="Q41" i="19"/>
  <c r="R22" i="11"/>
  <c r="R32" i="19" s="1"/>
  <c r="U122" i="8" l="1"/>
  <c r="U170" i="8"/>
  <c r="U215" i="8" s="1"/>
  <c r="V28" i="8"/>
  <c r="U85" i="8"/>
  <c r="Y120" i="8"/>
  <c r="V197" i="8"/>
  <c r="F16" i="27"/>
  <c r="D16" i="27"/>
  <c r="V85" i="8" l="1"/>
  <c r="V122" i="8"/>
  <c r="V170" i="8"/>
  <c r="V215" i="8" s="1"/>
  <c r="W28" i="8"/>
  <c r="Z120" i="8"/>
  <c r="W197" i="8"/>
  <c r="X28" i="8" l="1"/>
  <c r="W85" i="8"/>
  <c r="W122" i="8"/>
  <c r="W170" i="8"/>
  <c r="W215" i="8" s="1"/>
  <c r="X197" i="8"/>
  <c r="X170" i="8" l="1"/>
  <c r="X215" i="8" s="1"/>
  <c r="Y28" i="8"/>
  <c r="X85" i="8"/>
  <c r="X122" i="8"/>
  <c r="Y197" i="8"/>
  <c r="Y170" i="8" l="1"/>
  <c r="Y215" i="8" s="1"/>
  <c r="Z28" i="8"/>
  <c r="Y85" i="8"/>
  <c r="Y122" i="8"/>
  <c r="Z197" i="8"/>
  <c r="I107" i="8" l="1"/>
  <c r="J107" i="8" s="1"/>
  <c r="K107" i="8" s="1"/>
  <c r="L107" i="8" s="1"/>
  <c r="M107" i="8" s="1"/>
  <c r="N107" i="8" s="1"/>
  <c r="O107" i="8" s="1"/>
  <c r="P107" i="8" s="1"/>
  <c r="Q107" i="8" s="1"/>
  <c r="R107" i="8" s="1"/>
  <c r="S107" i="8" s="1"/>
  <c r="T107" i="8" s="1"/>
  <c r="U107" i="8" s="1"/>
  <c r="V107" i="8" s="1"/>
  <c r="W107" i="8" s="1"/>
  <c r="X107" i="8" s="1"/>
  <c r="Y107" i="8" s="1"/>
  <c r="I41" i="8"/>
  <c r="J41" i="8" s="1"/>
  <c r="K41" i="8" s="1"/>
  <c r="L41" i="8" s="1"/>
  <c r="M41" i="8" s="1"/>
  <c r="N41" i="8" s="1"/>
  <c r="O41" i="8" s="1"/>
  <c r="P41" i="8" s="1"/>
  <c r="Z170" i="8"/>
  <c r="Z215" i="8" s="1"/>
  <c r="Z122" i="8"/>
  <c r="Z85" i="8"/>
  <c r="Q41" i="8" l="1"/>
  <c r="R41" i="8" s="1"/>
  <c r="S41" i="8" s="1"/>
  <c r="T41" i="8" s="1"/>
  <c r="U41" i="8" s="1"/>
  <c r="P44" i="8"/>
  <c r="G60" i="9"/>
  <c r="F42" i="11" s="1"/>
  <c r="K60" i="9"/>
  <c r="J42" i="11" s="1"/>
  <c r="H60" i="9"/>
  <c r="G42" i="11" s="1"/>
  <c r="L60" i="9"/>
  <c r="K42" i="11" s="1"/>
  <c r="O60" i="9"/>
  <c r="N42" i="11" s="1"/>
  <c r="N48" i="19" s="1"/>
  <c r="J60" i="9"/>
  <c r="I42" i="11" s="1"/>
  <c r="N60" i="9"/>
  <c r="M42" i="11" s="1"/>
  <c r="P60" i="9"/>
  <c r="O42" i="11" s="1"/>
  <c r="O48" i="19" s="1"/>
  <c r="M60" i="9"/>
  <c r="L42" i="11" s="1"/>
  <c r="Q60" i="9"/>
  <c r="P42" i="11" s="1"/>
  <c r="P48" i="19" s="1"/>
  <c r="I60" i="9"/>
  <c r="H42" i="11" s="1"/>
  <c r="G79" i="9"/>
  <c r="G84" i="9" s="1"/>
  <c r="H79" i="9"/>
  <c r="I79" i="9"/>
  <c r="J79" i="9"/>
  <c r="K79" i="9"/>
  <c r="L79" i="9"/>
  <c r="N79" i="9"/>
  <c r="O79" i="9"/>
  <c r="Q79" i="9"/>
  <c r="V41" i="8" l="1"/>
  <c r="W41" i="8" s="1"/>
  <c r="X41" i="8" s="1"/>
  <c r="Y41" i="8" s="1"/>
  <c r="U44" i="8"/>
  <c r="G61" i="9"/>
  <c r="I61" i="9"/>
  <c r="O61" i="9"/>
  <c r="N61" i="9"/>
  <c r="J61" i="9"/>
  <c r="Q61" i="9"/>
  <c r="AO9" i="8"/>
  <c r="AP9" i="8" s="1"/>
  <c r="H61" i="9"/>
  <c r="L61" i="9"/>
  <c r="M61" i="9"/>
  <c r="P61" i="9"/>
  <c r="K61" i="9"/>
  <c r="Q84" i="9"/>
  <c r="P84" i="9"/>
  <c r="O84" i="9"/>
  <c r="N84" i="9"/>
  <c r="M84" i="9"/>
  <c r="L84" i="9"/>
  <c r="K84" i="9"/>
  <c r="J84" i="9"/>
  <c r="I84" i="9"/>
  <c r="H84" i="9"/>
  <c r="G143" i="8"/>
  <c r="E143" i="8"/>
  <c r="F143" i="8"/>
  <c r="L41" i="11" l="1"/>
  <c r="L40" i="11"/>
  <c r="L11" i="11"/>
  <c r="L16" i="11"/>
  <c r="L17" i="11"/>
  <c r="N11" i="11"/>
  <c r="N23" i="19" s="1"/>
  <c r="N41" i="11"/>
  <c r="N47" i="19" s="1"/>
  <c r="N40" i="11"/>
  <c r="N46" i="19" s="1"/>
  <c r="N16" i="11"/>
  <c r="N27" i="19" s="1"/>
  <c r="N17" i="11"/>
  <c r="N28" i="19" s="1"/>
  <c r="O40" i="11"/>
  <c r="O46" i="19" s="1"/>
  <c r="O41" i="11"/>
  <c r="O47" i="19" s="1"/>
  <c r="O11" i="11"/>
  <c r="O23" i="19" s="1"/>
  <c r="O16" i="11"/>
  <c r="O27" i="19" s="1"/>
  <c r="O17" i="11"/>
  <c r="O28" i="19" s="1"/>
  <c r="K41" i="11"/>
  <c r="K40" i="11"/>
  <c r="K11" i="11"/>
  <c r="K16" i="11"/>
  <c r="K17" i="11"/>
  <c r="H40" i="11"/>
  <c r="H41" i="11"/>
  <c r="H11" i="11"/>
  <c r="H17" i="11"/>
  <c r="H16" i="11"/>
  <c r="P41" i="11"/>
  <c r="P47" i="19" s="1"/>
  <c r="P40" i="11"/>
  <c r="P46" i="19" s="1"/>
  <c r="P11" i="11"/>
  <c r="P23" i="19" s="1"/>
  <c r="P17" i="11"/>
  <c r="P28" i="19" s="1"/>
  <c r="P16" i="11"/>
  <c r="P27" i="19" s="1"/>
  <c r="J41" i="11"/>
  <c r="J40" i="11"/>
  <c r="J11" i="11"/>
  <c r="J16" i="11"/>
  <c r="J17" i="11"/>
  <c r="I40" i="11"/>
  <c r="I11" i="11"/>
  <c r="I41" i="11"/>
  <c r="I16" i="11"/>
  <c r="I17" i="11"/>
  <c r="M40" i="11"/>
  <c r="M41" i="11"/>
  <c r="M11" i="11"/>
  <c r="M16" i="11"/>
  <c r="M17" i="11"/>
  <c r="G40" i="11"/>
  <c r="G11" i="11"/>
  <c r="G41" i="11"/>
  <c r="G16" i="11"/>
  <c r="G17" i="11"/>
  <c r="F11" i="11"/>
  <c r="F41" i="11"/>
  <c r="F40" i="11"/>
  <c r="F17" i="11"/>
  <c r="F16" i="11"/>
  <c r="F145" i="8"/>
  <c r="D122" i="17"/>
  <c r="D75" i="17" s="1"/>
  <c r="G145" i="8"/>
  <c r="E145" i="8"/>
  <c r="D36" i="17" l="1"/>
  <c r="O36" i="17" s="1"/>
  <c r="D35" i="17"/>
  <c r="O35" i="17" s="1"/>
  <c r="O75" i="17"/>
  <c r="G6" i="27" l="1"/>
  <c r="D6" i="27"/>
  <c r="E6" i="27"/>
  <c r="C18" i="27" l="1"/>
  <c r="C19" i="27" l="1"/>
  <c r="C17" i="27"/>
  <c r="R49" i="11"/>
  <c r="R54" i="19" s="1"/>
  <c r="H106" i="8" l="1"/>
  <c r="H58" i="8" s="1"/>
  <c r="H188" i="8"/>
  <c r="H238" i="8"/>
  <c r="I58" i="8" l="1"/>
  <c r="J58" i="8" l="1"/>
  <c r="I57" i="8"/>
  <c r="K58" i="8" l="1"/>
  <c r="I43" i="8" l="1"/>
  <c r="L58" i="8"/>
  <c r="M58" i="8" l="1"/>
  <c r="I106" i="8"/>
  <c r="N58" i="8" l="1"/>
  <c r="J57" i="8"/>
  <c r="I238" i="8"/>
  <c r="I188" i="8"/>
  <c r="O58" i="8" l="1"/>
  <c r="P58" i="8" l="1"/>
  <c r="Q58" i="8" l="1"/>
  <c r="R58" i="8" l="1"/>
  <c r="S58" i="8" l="1"/>
  <c r="T58" i="8" l="1"/>
  <c r="J43" i="8" l="1"/>
  <c r="U58" i="8"/>
  <c r="K43" i="8" l="1"/>
  <c r="L43" i="8" s="1"/>
  <c r="M43" i="8" s="1"/>
  <c r="J106" i="8"/>
  <c r="V58" i="8"/>
  <c r="W58" i="8" l="1"/>
  <c r="K57" i="8"/>
  <c r="K106" i="8" s="1"/>
  <c r="J238" i="8"/>
  <c r="J188" i="8"/>
  <c r="L57" i="8" l="1"/>
  <c r="L106" i="8" s="1"/>
  <c r="X58" i="8"/>
  <c r="K188" i="8"/>
  <c r="K238" i="8"/>
  <c r="M57" i="8" l="1"/>
  <c r="M106" i="8" s="1"/>
  <c r="Y58" i="8"/>
  <c r="L188" i="8"/>
  <c r="L238" i="8"/>
  <c r="N57" i="8" l="1"/>
  <c r="M188" i="8"/>
  <c r="M238" i="8"/>
  <c r="N43" i="8" l="1"/>
  <c r="N238" i="8"/>
  <c r="N106" i="8" l="1"/>
  <c r="N188" i="8"/>
  <c r="O57" i="8" l="1"/>
  <c r="O43" i="8" l="1"/>
  <c r="O106" i="8" l="1"/>
  <c r="O188" i="8"/>
  <c r="O238" i="8"/>
  <c r="P57" i="8" l="1"/>
  <c r="P188" i="8"/>
  <c r="P238" i="8"/>
  <c r="Q238" i="8" l="1"/>
  <c r="Q188" i="8"/>
  <c r="R188" i="8" l="1"/>
  <c r="R238" i="8"/>
  <c r="S238" i="8" l="1"/>
  <c r="S188" i="8"/>
  <c r="T238" i="8" l="1"/>
  <c r="T188" i="8"/>
  <c r="U188" i="8" l="1"/>
  <c r="U238" i="8"/>
  <c r="V188" i="8" l="1"/>
  <c r="V238" i="8"/>
  <c r="W238" i="8" l="1"/>
  <c r="W188" i="8"/>
  <c r="X188" i="8" l="1"/>
  <c r="X238" i="8"/>
  <c r="Y188" i="8" l="1"/>
  <c r="Y238" i="8"/>
  <c r="Z188" i="8"/>
  <c r="Z238" i="8"/>
  <c r="O218" i="8" l="1"/>
  <c r="AI14" i="8" s="1"/>
  <c r="N218" i="8"/>
  <c r="AI13" i="8" s="1"/>
  <c r="M218" i="8"/>
  <c r="AI12" i="8" s="1"/>
  <c r="L218" i="8"/>
  <c r="AI11" i="8" s="1"/>
  <c r="K218" i="8"/>
  <c r="AI10" i="8" s="1"/>
  <c r="G25" i="6"/>
  <c r="J218" i="8"/>
  <c r="AI9" i="8" s="1"/>
  <c r="I218" i="8"/>
  <c r="AI8" i="8" s="1"/>
  <c r="H218" i="8"/>
  <c r="AI7" i="8" s="1"/>
  <c r="S218" i="8"/>
  <c r="S222" i="8" s="1"/>
  <c r="S223" i="8" s="1"/>
  <c r="Z218" i="8"/>
  <c r="Z222" i="8" s="1"/>
  <c r="Z223" i="8" s="1"/>
  <c r="W218" i="8"/>
  <c r="W222" i="8" s="1"/>
  <c r="W223" i="8" s="1"/>
  <c r="U218" i="8"/>
  <c r="U222" i="8" s="1"/>
  <c r="U223" i="8" s="1"/>
  <c r="R218" i="8"/>
  <c r="R222" i="8" s="1"/>
  <c r="R223" i="8" s="1"/>
  <c r="Y218" i="8"/>
  <c r="Y222" i="8" s="1"/>
  <c r="Y223" i="8" s="1"/>
  <c r="Q218" i="8"/>
  <c r="Q222" i="8" s="1"/>
  <c r="Q223" i="8" s="1"/>
  <c r="X218" i="8"/>
  <c r="X222" i="8" s="1"/>
  <c r="X223" i="8" s="1"/>
  <c r="P218" i="8"/>
  <c r="V218" i="8"/>
  <c r="V222" i="8" s="1"/>
  <c r="V223" i="8" s="1"/>
  <c r="T218" i="8"/>
  <c r="T222" i="8" s="1"/>
  <c r="T223" i="8" s="1"/>
  <c r="I9" i="8" l="1"/>
  <c r="F9" i="8" s="1"/>
  <c r="C12" i="8" l="1"/>
  <c r="L200" i="8" s="1"/>
  <c r="L201" i="8" s="1"/>
  <c r="L9" i="8"/>
  <c r="AB201" i="8" l="1"/>
  <c r="AA201" i="8"/>
  <c r="H163" i="8"/>
  <c r="H175" i="8"/>
  <c r="H174" i="8" s="1"/>
  <c r="H145" i="8"/>
  <c r="H75" i="8"/>
  <c r="H97" i="8"/>
  <c r="H114" i="8"/>
  <c r="H47" i="8"/>
  <c r="H131" i="8"/>
  <c r="H30" i="8"/>
  <c r="H137" i="8" s="1"/>
  <c r="H91" i="8" l="1"/>
  <c r="H119" i="8"/>
  <c r="H46" i="8"/>
  <c r="E29" i="19"/>
  <c r="H102" i="8"/>
  <c r="H155" i="8" s="1"/>
  <c r="H33" i="8"/>
  <c r="H135" i="8"/>
  <c r="H115" i="8"/>
  <c r="H98" i="8"/>
  <c r="H173" i="8"/>
  <c r="H172" i="8" s="1"/>
  <c r="H176" i="8"/>
  <c r="H147" i="8" l="1"/>
  <c r="H192" i="8"/>
  <c r="H242" i="8" s="1"/>
  <c r="I29" i="19"/>
  <c r="H101" i="8"/>
  <c r="H94" i="8"/>
  <c r="H111" i="8"/>
  <c r="H64" i="8"/>
  <c r="H36" i="8"/>
  <c r="H129" i="8" l="1"/>
  <c r="H190" i="8" s="1"/>
  <c r="H240" i="8" s="1"/>
  <c r="I54" i="8"/>
  <c r="H100" i="8"/>
  <c r="I140" i="8"/>
  <c r="H37" i="8"/>
  <c r="Q21" i="11" s="1"/>
  <c r="Q31" i="19" s="1"/>
  <c r="H48" i="8"/>
  <c r="AQ10" i="8"/>
  <c r="AO10" i="8"/>
  <c r="Q51" i="11" l="1"/>
  <c r="Q56" i="19" s="1"/>
  <c r="H49" i="8"/>
  <c r="Q18" i="11" s="1"/>
  <c r="Q29" i="19" s="1"/>
  <c r="Q44" i="11"/>
  <c r="Q45" i="11"/>
  <c r="Q50" i="11"/>
  <c r="Q55" i="19" s="1"/>
  <c r="Q43" i="11"/>
  <c r="Q49" i="19" s="1"/>
  <c r="H60" i="8"/>
  <c r="I104" i="8"/>
  <c r="I51" i="8"/>
  <c r="Q51" i="19" l="1"/>
  <c r="Q50" i="19"/>
  <c r="I52" i="8"/>
  <c r="I124" i="8"/>
  <c r="H79" i="8"/>
  <c r="H232" i="8"/>
  <c r="H61" i="8"/>
  <c r="H77" i="8"/>
  <c r="I236" i="8" l="1"/>
  <c r="I186" i="8"/>
  <c r="Q20" i="11"/>
  <c r="H82" i="8"/>
  <c r="Q19" i="11"/>
  <c r="Q30" i="19" s="1"/>
  <c r="F29" i="19"/>
  <c r="H181" i="8"/>
  <c r="H182" i="8" l="1"/>
  <c r="H180" i="8"/>
  <c r="H179" i="8"/>
  <c r="H178" i="8" s="1"/>
  <c r="H184" i="8" s="1"/>
  <c r="N149" i="8"/>
  <c r="L149" i="8"/>
  <c r="X149" i="8"/>
  <c r="H149" i="8"/>
  <c r="M149" i="8"/>
  <c r="J149" i="8"/>
  <c r="Z149" i="8"/>
  <c r="W149" i="8"/>
  <c r="H83" i="8"/>
  <c r="Q23" i="11" s="1"/>
  <c r="Q33" i="19" s="1"/>
  <c r="U149" i="8"/>
  <c r="K149" i="8"/>
  <c r="S149" i="8"/>
  <c r="I149" i="8"/>
  <c r="O149" i="8"/>
  <c r="H152" i="8"/>
  <c r="Q149" i="8"/>
  <c r="H234" i="8"/>
  <c r="H246" i="8" s="1"/>
  <c r="P149" i="8"/>
  <c r="Y149" i="8"/>
  <c r="H133" i="8"/>
  <c r="R149" i="8"/>
  <c r="V149" i="8"/>
  <c r="T149" i="8"/>
  <c r="H165" i="8" l="1"/>
  <c r="Q62" i="11" s="1"/>
  <c r="AH10" i="8"/>
  <c r="I160" i="8"/>
  <c r="H247" i="8"/>
  <c r="I158" i="8"/>
  <c r="H259" i="8"/>
  <c r="AK10" i="8"/>
  <c r="H29" i="19" s="1"/>
  <c r="H194" i="8"/>
  <c r="Q55" i="11"/>
  <c r="Q57" i="11"/>
  <c r="Q60" i="11"/>
  <c r="Q58" i="11"/>
  <c r="Q59" i="11"/>
  <c r="Q63" i="11"/>
  <c r="Q42" i="19" s="1"/>
  <c r="H167" i="8" l="1"/>
  <c r="Q56" i="11" s="1"/>
  <c r="AJ10" i="8"/>
  <c r="H263" i="8"/>
  <c r="AG10" i="8"/>
  <c r="G29" i="19" s="1"/>
  <c r="H195" i="8"/>
  <c r="H217" i="8"/>
  <c r="I244" i="8"/>
  <c r="AL11" i="8" s="1"/>
  <c r="I117" i="8"/>
  <c r="R61" i="11"/>
  <c r="H89" i="8" l="1"/>
  <c r="AM10" i="8" s="1"/>
  <c r="Q64" i="11"/>
  <c r="Q43" i="19" s="1"/>
  <c r="AB206" i="8"/>
  <c r="AN10" i="8" l="1"/>
  <c r="AP10" i="8" s="1"/>
  <c r="Q40" i="11" s="1"/>
  <c r="Q28" i="11"/>
  <c r="Q37" i="19" s="1"/>
  <c r="AR10" i="8"/>
  <c r="Q29" i="11" s="1"/>
  <c r="Q38" i="19" s="1"/>
  <c r="AA203" i="8"/>
  <c r="Q27" i="11"/>
  <c r="Q36" i="19" s="1"/>
  <c r="Q42" i="11" l="1"/>
  <c r="Q48" i="19" s="1"/>
  <c r="Q15" i="11"/>
  <c r="Q26" i="19" s="1"/>
  <c r="R42" i="11"/>
  <c r="R48" i="19" s="1"/>
  <c r="R29" i="11"/>
  <c r="R38" i="19" s="1"/>
  <c r="Q41" i="11"/>
  <c r="Q47" i="19" s="1"/>
  <c r="Q46" i="19"/>
  <c r="R41" i="11"/>
  <c r="R47" i="19" s="1"/>
  <c r="R40" i="11"/>
  <c r="R46" i="19" s="1"/>
  <c r="Q16" i="11"/>
  <c r="Q27" i="19" s="1"/>
  <c r="Q17" i="11"/>
  <c r="Q28" i="19" s="1"/>
  <c r="Q44" i="8"/>
  <c r="S44" i="8"/>
  <c r="Z44" i="8"/>
  <c r="T44" i="8"/>
  <c r="U40" i="8"/>
  <c r="T175" i="8"/>
  <c r="T176" i="8" s="1"/>
  <c r="Y40" i="8"/>
  <c r="Y44" i="8"/>
  <c r="T40" i="8"/>
  <c r="N40" i="8"/>
  <c r="N175" i="8"/>
  <c r="N174" i="8" s="1"/>
  <c r="I39" i="8"/>
  <c r="J39" i="8" s="1"/>
  <c r="O175" i="8"/>
  <c r="V44" i="8"/>
  <c r="I145" i="8"/>
  <c r="J145" i="8" s="1"/>
  <c r="Z175" i="8"/>
  <c r="Z176" i="8" s="1"/>
  <c r="O40" i="8"/>
  <c r="S175" i="8"/>
  <c r="S176" i="8" s="1"/>
  <c r="S40" i="8"/>
  <c r="I175" i="8"/>
  <c r="I176" i="8" s="1"/>
  <c r="Y175" i="8"/>
  <c r="Y174" i="8" s="1"/>
  <c r="X40" i="8"/>
  <c r="R40" i="8"/>
  <c r="P40" i="8"/>
  <c r="I40" i="8"/>
  <c r="I75" i="8"/>
  <c r="M40" i="8"/>
  <c r="X44" i="8"/>
  <c r="V175" i="8"/>
  <c r="M175" i="8"/>
  <c r="P175" i="8"/>
  <c r="P176" i="8" s="1"/>
  <c r="R44" i="8"/>
  <c r="V40" i="8"/>
  <c r="K40" i="8"/>
  <c r="L40" i="8"/>
  <c r="R175" i="8"/>
  <c r="R176" i="8" s="1"/>
  <c r="Z40" i="8"/>
  <c r="W44" i="8"/>
  <c r="I131" i="8"/>
  <c r="J131" i="8" s="1"/>
  <c r="J175" i="8"/>
  <c r="J173" i="8" s="1"/>
  <c r="Q40" i="8"/>
  <c r="W175" i="8"/>
  <c r="W176" i="8" s="1"/>
  <c r="I114" i="8"/>
  <c r="J114" i="8" s="1"/>
  <c r="L175" i="8"/>
  <c r="L176" i="8" s="1"/>
  <c r="W40" i="8"/>
  <c r="J40" i="8"/>
  <c r="U175" i="8"/>
  <c r="U176" i="8" s="1"/>
  <c r="Q175" i="8"/>
  <c r="Q174" i="8" s="1"/>
  <c r="K175" i="8"/>
  <c r="K176" i="8" s="1"/>
  <c r="P43" i="8"/>
  <c r="P106" i="8" s="1"/>
  <c r="I97" i="8"/>
  <c r="J97" i="8" s="1"/>
  <c r="X175" i="8"/>
  <c r="X176" i="8" s="1"/>
  <c r="I163" i="8"/>
  <c r="J163" i="8" s="1"/>
  <c r="I30" i="8"/>
  <c r="J30" i="8" s="1"/>
  <c r="J137" i="8" s="1"/>
  <c r="K39" i="8" l="1"/>
  <c r="L39" i="8" s="1"/>
  <c r="M39" i="8" s="1"/>
  <c r="N39" i="8" s="1"/>
  <c r="O39" i="8" s="1"/>
  <c r="P39" i="8" s="1"/>
  <c r="Q39" i="8" s="1"/>
  <c r="R39" i="8" s="1"/>
  <c r="S39" i="8" s="1"/>
  <c r="T39" i="8" s="1"/>
  <c r="U39" i="8" s="1"/>
  <c r="V39" i="8" s="1"/>
  <c r="W39" i="8" s="1"/>
  <c r="X39" i="8" s="1"/>
  <c r="Y39" i="8" s="1"/>
  <c r="Z39" i="8" s="1"/>
  <c r="X174" i="8"/>
  <c r="Z174" i="8"/>
  <c r="J98" i="8"/>
  <c r="U173" i="8"/>
  <c r="K174" i="8"/>
  <c r="Y176" i="8"/>
  <c r="T173" i="8"/>
  <c r="T174" i="8"/>
  <c r="Q173" i="8"/>
  <c r="K173" i="8"/>
  <c r="Z173" i="8"/>
  <c r="I173" i="8"/>
  <c r="I172" i="8" s="1"/>
  <c r="J172" i="8" s="1"/>
  <c r="W173" i="8"/>
  <c r="R173" i="8"/>
  <c r="W174" i="8"/>
  <c r="J176" i="8"/>
  <c r="S173" i="8"/>
  <c r="J174" i="8"/>
  <c r="V173" i="8"/>
  <c r="R174" i="8"/>
  <c r="S174" i="8"/>
  <c r="Q57" i="8"/>
  <c r="L174" i="8"/>
  <c r="L173" i="8"/>
  <c r="K131" i="8"/>
  <c r="L131" i="8" s="1"/>
  <c r="I102" i="8"/>
  <c r="I155" i="8" s="1"/>
  <c r="I91" i="8"/>
  <c r="I119" i="8"/>
  <c r="I46" i="8"/>
  <c r="I33" i="8"/>
  <c r="I36" i="8" s="1"/>
  <c r="E30" i="19"/>
  <c r="I137" i="8"/>
  <c r="I135" i="8" s="1"/>
  <c r="O173" i="8"/>
  <c r="O174" i="8"/>
  <c r="O176" i="8"/>
  <c r="J33" i="8"/>
  <c r="E31" i="19"/>
  <c r="J119" i="8"/>
  <c r="J102" i="8"/>
  <c r="J155" i="8" s="1"/>
  <c r="J46" i="8"/>
  <c r="J91" i="8"/>
  <c r="K30" i="8"/>
  <c r="M174" i="8"/>
  <c r="M173" i="8"/>
  <c r="M176" i="8"/>
  <c r="U174" i="8"/>
  <c r="Q43" i="8"/>
  <c r="R43" i="8" s="1"/>
  <c r="S43" i="8" s="1"/>
  <c r="T43" i="8" s="1"/>
  <c r="U43" i="8" s="1"/>
  <c r="V43" i="8" s="1"/>
  <c r="W43" i="8" s="1"/>
  <c r="X43" i="8" s="1"/>
  <c r="Y43" i="8" s="1"/>
  <c r="Z43" i="8" s="1"/>
  <c r="K163" i="8"/>
  <c r="L163" i="8" s="1"/>
  <c r="I98" i="8"/>
  <c r="K97" i="8"/>
  <c r="L97" i="8" s="1"/>
  <c r="Q176" i="8"/>
  <c r="I115" i="8"/>
  <c r="K114" i="8"/>
  <c r="J115" i="8"/>
  <c r="X173" i="8"/>
  <c r="Y173" i="8"/>
  <c r="V176" i="8"/>
  <c r="V174" i="8"/>
  <c r="I174" i="8"/>
  <c r="N173" i="8"/>
  <c r="N176" i="8"/>
  <c r="K145" i="8"/>
  <c r="P173" i="8"/>
  <c r="P174" i="8"/>
  <c r="J75" i="8"/>
  <c r="K172" i="8" l="1"/>
  <c r="L172" i="8" s="1"/>
  <c r="M172" i="8" s="1"/>
  <c r="N172" i="8" s="1"/>
  <c r="O172" i="8" s="1"/>
  <c r="P172" i="8" s="1"/>
  <c r="Q172" i="8" s="1"/>
  <c r="R172" i="8" s="1"/>
  <c r="S172" i="8" s="1"/>
  <c r="T172" i="8" s="1"/>
  <c r="U172" i="8" s="1"/>
  <c r="V172" i="8" s="1"/>
  <c r="W172" i="8" s="1"/>
  <c r="X172" i="8" s="1"/>
  <c r="Y172" i="8" s="1"/>
  <c r="Z172" i="8" s="1"/>
  <c r="Q106" i="8"/>
  <c r="R57" i="8" s="1"/>
  <c r="R106" i="8" s="1"/>
  <c r="L145" i="8"/>
  <c r="I94" i="8"/>
  <c r="I111" i="8"/>
  <c r="I37" i="8"/>
  <c r="R21" i="11" s="1"/>
  <c r="R31" i="19" s="1"/>
  <c r="I48" i="8"/>
  <c r="K75" i="8"/>
  <c r="M163" i="8"/>
  <c r="J111" i="8"/>
  <c r="J94" i="8"/>
  <c r="J36" i="8"/>
  <c r="I64" i="8"/>
  <c r="I147" i="8"/>
  <c r="I192" i="8"/>
  <c r="I242" i="8" s="1"/>
  <c r="I30" i="19"/>
  <c r="I101" i="8"/>
  <c r="K98" i="8"/>
  <c r="M97" i="8"/>
  <c r="N97" i="8" s="1"/>
  <c r="M131" i="8"/>
  <c r="N131" i="8" s="1"/>
  <c r="K115" i="8"/>
  <c r="L114" i="8"/>
  <c r="M114" i="8" s="1"/>
  <c r="K102" i="8"/>
  <c r="K155" i="8" s="1"/>
  <c r="K119" i="8"/>
  <c r="E32" i="19"/>
  <c r="K46" i="8"/>
  <c r="K33" i="8"/>
  <c r="K36" i="8" s="1"/>
  <c r="K91" i="8"/>
  <c r="K137" i="8"/>
  <c r="L30" i="8"/>
  <c r="I129" i="8" l="1"/>
  <c r="I190" i="8" s="1"/>
  <c r="I240" i="8" s="1"/>
  <c r="J129" i="8"/>
  <c r="J190" i="8" s="1"/>
  <c r="J240" i="8" s="1"/>
  <c r="K37" i="8"/>
  <c r="K48" i="8"/>
  <c r="L102" i="8"/>
  <c r="L155" i="8" s="1"/>
  <c r="L33" i="8"/>
  <c r="L36" i="8" s="1"/>
  <c r="L91" i="8"/>
  <c r="L46" i="8"/>
  <c r="L119" i="8"/>
  <c r="L137" i="8"/>
  <c r="M30" i="8"/>
  <c r="M115" i="8" s="1"/>
  <c r="E33" i="19"/>
  <c r="L75" i="8"/>
  <c r="L115" i="8"/>
  <c r="N114" i="8"/>
  <c r="O114" i="8" s="1"/>
  <c r="J54" i="8"/>
  <c r="J140" i="8"/>
  <c r="J135" i="8" s="1"/>
  <c r="J101" i="8" s="1"/>
  <c r="I100" i="8"/>
  <c r="J37" i="8"/>
  <c r="J48" i="8"/>
  <c r="R51" i="11"/>
  <c r="R56" i="19" s="1"/>
  <c r="R43" i="11"/>
  <c r="R49" i="19" s="1"/>
  <c r="R44" i="11"/>
  <c r="R45" i="11"/>
  <c r="R50" i="11"/>
  <c r="R55" i="19" s="1"/>
  <c r="I49" i="8"/>
  <c r="R18" i="11" s="1"/>
  <c r="R29" i="19" s="1"/>
  <c r="I60" i="8"/>
  <c r="O97" i="8"/>
  <c r="P97" i="8" s="1"/>
  <c r="M145" i="8"/>
  <c r="N145" i="8" s="1"/>
  <c r="L98" i="8"/>
  <c r="K94" i="8"/>
  <c r="K111" i="8"/>
  <c r="O131" i="8"/>
  <c r="S57" i="8"/>
  <c r="S106" i="8" s="1"/>
  <c r="N163" i="8"/>
  <c r="AO11" i="8"/>
  <c r="AQ11" i="8"/>
  <c r="K129" i="8" l="1"/>
  <c r="K190" i="8" s="1"/>
  <c r="K240" i="8" s="1"/>
  <c r="L37" i="8"/>
  <c r="L48" i="8"/>
  <c r="T57" i="8"/>
  <c r="T106" i="8" s="1"/>
  <c r="J147" i="8"/>
  <c r="J192" i="8"/>
  <c r="J242" i="8" s="1"/>
  <c r="I31" i="19"/>
  <c r="R50" i="19"/>
  <c r="R51" i="19"/>
  <c r="J104" i="8"/>
  <c r="J51" i="8"/>
  <c r="M137" i="8"/>
  <c r="M33" i="8"/>
  <c r="M102" i="8"/>
  <c r="M155" i="8" s="1"/>
  <c r="M46" i="8"/>
  <c r="M119" i="8"/>
  <c r="N30" i="8"/>
  <c r="M91" i="8"/>
  <c r="O145" i="8"/>
  <c r="P145" i="8" s="1"/>
  <c r="P114" i="8"/>
  <c r="Q114" i="8" s="1"/>
  <c r="O163" i="8"/>
  <c r="K49" i="8"/>
  <c r="J49" i="8"/>
  <c r="I232" i="8"/>
  <c r="I79" i="8"/>
  <c r="I77" i="8"/>
  <c r="I61" i="8"/>
  <c r="M98" i="8"/>
  <c r="K140" i="8"/>
  <c r="K135" i="8" s="1"/>
  <c r="K101" i="8" s="1"/>
  <c r="K54" i="8"/>
  <c r="K51" i="8" s="1"/>
  <c r="K60" i="8" s="1"/>
  <c r="L94" i="8"/>
  <c r="L111" i="8"/>
  <c r="P131" i="8"/>
  <c r="Q131" i="8" s="1"/>
  <c r="M75" i="8"/>
  <c r="Q97" i="8"/>
  <c r="L129" i="8" l="1"/>
  <c r="L190" i="8" s="1"/>
  <c r="L240" i="8" s="1"/>
  <c r="Q145" i="8"/>
  <c r="R145" i="8" s="1"/>
  <c r="S145" i="8" s="1"/>
  <c r="K104" i="8"/>
  <c r="K100" i="8" s="1"/>
  <c r="J124" i="8"/>
  <c r="J52" i="8"/>
  <c r="R19" i="11"/>
  <c r="R30" i="19" s="1"/>
  <c r="F30" i="19"/>
  <c r="I181" i="8"/>
  <c r="P163" i="8"/>
  <c r="N91" i="8"/>
  <c r="N46" i="8"/>
  <c r="N33" i="8"/>
  <c r="O30" i="8"/>
  <c r="N102" i="8"/>
  <c r="N155" i="8" s="1"/>
  <c r="N137" i="8"/>
  <c r="N119" i="8"/>
  <c r="N98" i="8"/>
  <c r="L49" i="8"/>
  <c r="L140" i="8"/>
  <c r="L135" i="8" s="1"/>
  <c r="L101" i="8" s="1"/>
  <c r="L54" i="8"/>
  <c r="L51" i="8" s="1"/>
  <c r="M111" i="8"/>
  <c r="M94" i="8"/>
  <c r="R114" i="8"/>
  <c r="K124" i="8"/>
  <c r="N115" i="8"/>
  <c r="M36" i="8"/>
  <c r="K79" i="8"/>
  <c r="K232" i="8"/>
  <c r="K77" i="8"/>
  <c r="K61" i="8"/>
  <c r="U57" i="8"/>
  <c r="U106" i="8" s="1"/>
  <c r="R20" i="11"/>
  <c r="I82" i="8"/>
  <c r="J100" i="8"/>
  <c r="K52" i="8" s="1"/>
  <c r="J60" i="8"/>
  <c r="R97" i="8"/>
  <c r="I32" i="19"/>
  <c r="K147" i="8"/>
  <c r="K192" i="8"/>
  <c r="K242" i="8" s="1"/>
  <c r="R131" i="8"/>
  <c r="S131" i="8" s="1"/>
  <c r="N75" i="8"/>
  <c r="O75" i="8" s="1"/>
  <c r="P75" i="8" s="1"/>
  <c r="M129" i="8" l="1"/>
  <c r="M190" i="8" s="1"/>
  <c r="M240" i="8" s="1"/>
  <c r="Q163" i="8"/>
  <c r="R163" i="8" s="1"/>
  <c r="S163" i="8" s="1"/>
  <c r="T163" i="8" s="1"/>
  <c r="K82" i="8"/>
  <c r="K234" i="8" s="1"/>
  <c r="V57" i="8"/>
  <c r="V106" i="8" s="1"/>
  <c r="I182" i="8"/>
  <c r="I180" i="8"/>
  <c r="I179" i="8"/>
  <c r="I178" i="8" s="1"/>
  <c r="I184" i="8" s="1"/>
  <c r="J79" i="8"/>
  <c r="J232" i="8"/>
  <c r="J61" i="8"/>
  <c r="J77" i="8"/>
  <c r="Q75" i="8"/>
  <c r="M37" i="8"/>
  <c r="M48" i="8"/>
  <c r="N111" i="8"/>
  <c r="N94" i="8"/>
  <c r="I33" i="19"/>
  <c r="L192" i="8"/>
  <c r="L242" i="8" s="1"/>
  <c r="L147" i="8"/>
  <c r="J186" i="8"/>
  <c r="J236" i="8"/>
  <c r="K236" i="8"/>
  <c r="K186" i="8"/>
  <c r="F32" i="19"/>
  <c r="K181" i="8"/>
  <c r="L124" i="8"/>
  <c r="L52" i="8"/>
  <c r="M54" i="8"/>
  <c r="M51" i="8" s="1"/>
  <c r="M140" i="8"/>
  <c r="M135" i="8" s="1"/>
  <c r="M101" i="8" s="1"/>
  <c r="N36" i="8"/>
  <c r="T145" i="8"/>
  <c r="U145" i="8" s="1"/>
  <c r="S114" i="8"/>
  <c r="T114" i="8" s="1"/>
  <c r="T131" i="8"/>
  <c r="R15" i="11"/>
  <c r="R26" i="19" s="1"/>
  <c r="I152" i="8"/>
  <c r="R16" i="11"/>
  <c r="R27" i="19" s="1"/>
  <c r="I83" i="8"/>
  <c r="R23" i="11" s="1"/>
  <c r="R33" i="19" s="1"/>
  <c r="I133" i="8"/>
  <c r="R63" i="11" s="1"/>
  <c r="R42" i="19" s="1"/>
  <c r="I234" i="8"/>
  <c r="I246" i="8" s="1"/>
  <c r="S97" i="8"/>
  <c r="T97" i="8" s="1"/>
  <c r="L60" i="8"/>
  <c r="O91" i="8"/>
  <c r="O33" i="8"/>
  <c r="O46" i="8"/>
  <c r="O119" i="8"/>
  <c r="O137" i="8"/>
  <c r="P30" i="8"/>
  <c r="O102" i="8"/>
  <c r="O155" i="8" s="1"/>
  <c r="O115" i="8"/>
  <c r="O98" i="8"/>
  <c r="L104" i="8"/>
  <c r="K133" i="8" l="1"/>
  <c r="K83" i="8"/>
  <c r="K152" i="8"/>
  <c r="K259" i="8" s="1"/>
  <c r="M104" i="8"/>
  <c r="M100" i="8" s="1"/>
  <c r="N129" i="8"/>
  <c r="N190" i="8" s="1"/>
  <c r="N240" i="8" s="1"/>
  <c r="W57" i="8"/>
  <c r="W106" i="8" s="1"/>
  <c r="O94" i="8"/>
  <c r="O111" i="8"/>
  <c r="N140" i="8"/>
  <c r="N135" i="8" s="1"/>
  <c r="N101" i="8" s="1"/>
  <c r="N54" i="8"/>
  <c r="N51" i="8" s="1"/>
  <c r="M49" i="8"/>
  <c r="M60" i="8"/>
  <c r="M192" i="8"/>
  <c r="M242" i="8" s="1"/>
  <c r="M147" i="8"/>
  <c r="AK11" i="8"/>
  <c r="H30" i="19" s="1"/>
  <c r="R17" i="11"/>
  <c r="R28" i="19" s="1"/>
  <c r="I194" i="8"/>
  <c r="L100" i="8"/>
  <c r="M52" i="8" s="1"/>
  <c r="U97" i="8"/>
  <c r="V97" i="8" s="1"/>
  <c r="N37" i="8"/>
  <c r="N48" i="8"/>
  <c r="K180" i="8"/>
  <c r="K182" i="8"/>
  <c r="K179" i="8"/>
  <c r="K178" i="8" s="1"/>
  <c r="K184" i="8" s="1"/>
  <c r="M124" i="8"/>
  <c r="P33" i="8"/>
  <c r="P91" i="8"/>
  <c r="P137" i="8"/>
  <c r="P46" i="8"/>
  <c r="P119" i="8"/>
  <c r="P102" i="8"/>
  <c r="P155" i="8" s="1"/>
  <c r="Q30" i="8"/>
  <c r="P98" i="8"/>
  <c r="P115" i="8"/>
  <c r="U114" i="8"/>
  <c r="I165" i="8"/>
  <c r="R62" i="11" s="1"/>
  <c r="I259" i="8"/>
  <c r="O36" i="8"/>
  <c r="L232" i="8"/>
  <c r="L79" i="8"/>
  <c r="L61" i="8"/>
  <c r="L77" i="8"/>
  <c r="I247" i="8"/>
  <c r="J158" i="8"/>
  <c r="J160" i="8"/>
  <c r="AH11" i="8"/>
  <c r="U163" i="8"/>
  <c r="J82" i="8"/>
  <c r="R60" i="11"/>
  <c r="R55" i="11"/>
  <c r="R57" i="11"/>
  <c r="R58" i="11"/>
  <c r="R59" i="11"/>
  <c r="R75" i="8"/>
  <c r="F31" i="19"/>
  <c r="J181" i="8"/>
  <c r="U131" i="8"/>
  <c r="L236" i="8"/>
  <c r="L186" i="8"/>
  <c r="V145" i="8"/>
  <c r="O129" i="8" l="1"/>
  <c r="O190" i="8" s="1"/>
  <c r="O240" i="8" s="1"/>
  <c r="L82" i="8"/>
  <c r="L133" i="8" s="1"/>
  <c r="I167" i="8"/>
  <c r="R56" i="11" s="1"/>
  <c r="N104" i="8"/>
  <c r="F33" i="19"/>
  <c r="L181" i="8"/>
  <c r="M79" i="8"/>
  <c r="M61" i="8"/>
  <c r="M181" i="8" s="1"/>
  <c r="M232" i="8"/>
  <c r="M77" i="8"/>
  <c r="AK13" i="8"/>
  <c r="H32" i="19" s="1"/>
  <c r="K194" i="8"/>
  <c r="AJ13" i="8"/>
  <c r="K263" i="8"/>
  <c r="O140" i="8"/>
  <c r="O135" i="8" s="1"/>
  <c r="O101" i="8" s="1"/>
  <c r="O54" i="8"/>
  <c r="O51" i="8" s="1"/>
  <c r="O37" i="8"/>
  <c r="O48" i="8"/>
  <c r="P111" i="8"/>
  <c r="P94" i="8"/>
  <c r="S75" i="8"/>
  <c r="T75" i="8" s="1"/>
  <c r="V131" i="8"/>
  <c r="W131" i="8" s="1"/>
  <c r="I263" i="8"/>
  <c r="AJ11" i="8"/>
  <c r="Q91" i="8"/>
  <c r="Q46" i="8"/>
  <c r="Q102" i="8"/>
  <c r="Q155" i="8" s="1"/>
  <c r="Q119" i="8"/>
  <c r="Q33" i="8"/>
  <c r="Q36" i="8" s="1"/>
  <c r="Q137" i="8"/>
  <c r="R30" i="8"/>
  <c r="Q115" i="8"/>
  <c r="Q98" i="8"/>
  <c r="V114" i="8"/>
  <c r="W114" i="8" s="1"/>
  <c r="N49" i="8"/>
  <c r="N60" i="8"/>
  <c r="J117" i="8"/>
  <c r="J244" i="8"/>
  <c r="AL12" i="8" s="1"/>
  <c r="AG11" i="8"/>
  <c r="G30" i="19" s="1"/>
  <c r="I195" i="8"/>
  <c r="I217" i="8"/>
  <c r="AC195" i="8"/>
  <c r="N124" i="8"/>
  <c r="N52" i="8"/>
  <c r="X57" i="8"/>
  <c r="X106" i="8" s="1"/>
  <c r="W145" i="8"/>
  <c r="J133" i="8"/>
  <c r="J152" i="8"/>
  <c r="J83" i="8"/>
  <c r="J234" i="8"/>
  <c r="P36" i="8"/>
  <c r="N147" i="8"/>
  <c r="N192" i="8"/>
  <c r="N242" i="8" s="1"/>
  <c r="W97" i="8"/>
  <c r="X97" i="8" s="1"/>
  <c r="J182" i="8"/>
  <c r="J180" i="8"/>
  <c r="J179" i="8"/>
  <c r="J178" i="8" s="1"/>
  <c r="J184" i="8" s="1"/>
  <c r="V163" i="8"/>
  <c r="W163" i="8" s="1"/>
  <c r="M236" i="8"/>
  <c r="M186" i="8"/>
  <c r="L152" i="8" l="1"/>
  <c r="L259" i="8" s="1"/>
  <c r="L234" i="8"/>
  <c r="L83" i="8"/>
  <c r="P129" i="8"/>
  <c r="P190" i="8" s="1"/>
  <c r="P240" i="8" s="1"/>
  <c r="I89" i="8"/>
  <c r="AR11" i="8" s="1"/>
  <c r="R64" i="11"/>
  <c r="R43" i="19" s="1"/>
  <c r="X131" i="8"/>
  <c r="Y131" i="8" s="1"/>
  <c r="Z131" i="8" s="1"/>
  <c r="O49" i="8"/>
  <c r="O60" i="8"/>
  <c r="AK12" i="8"/>
  <c r="H31" i="19" s="1"/>
  <c r="J194" i="8"/>
  <c r="Q37" i="8"/>
  <c r="Q48" i="8"/>
  <c r="O104" i="8"/>
  <c r="O100" i="8" s="1"/>
  <c r="AG13" i="8"/>
  <c r="G32" i="19" s="1"/>
  <c r="AE195" i="8"/>
  <c r="K217" i="8"/>
  <c r="K195" i="8"/>
  <c r="AE194" i="8"/>
  <c r="Y57" i="8"/>
  <c r="Y106" i="8" s="1"/>
  <c r="P140" i="8"/>
  <c r="P135" i="8" s="1"/>
  <c r="P101" i="8" s="1"/>
  <c r="P54" i="8"/>
  <c r="P51" i="8" s="1"/>
  <c r="O124" i="8"/>
  <c r="M82" i="8"/>
  <c r="L179" i="8"/>
  <c r="L178" i="8" s="1"/>
  <c r="L184" i="8" s="1"/>
  <c r="L180" i="8"/>
  <c r="L182" i="8"/>
  <c r="J246" i="8"/>
  <c r="J64" i="8"/>
  <c r="N186" i="8"/>
  <c r="N236" i="8"/>
  <c r="N61" i="8"/>
  <c r="N181" i="8" s="1"/>
  <c r="N79" i="8"/>
  <c r="N77" i="8"/>
  <c r="N232" i="8"/>
  <c r="Q94" i="8"/>
  <c r="Q111" i="8"/>
  <c r="N100" i="8"/>
  <c r="O52" i="8" s="1"/>
  <c r="X114" i="8"/>
  <c r="X163" i="8"/>
  <c r="P37" i="8"/>
  <c r="P48" i="8"/>
  <c r="Y97" i="8"/>
  <c r="R102" i="8"/>
  <c r="R155" i="8" s="1"/>
  <c r="R137" i="8"/>
  <c r="R119" i="8"/>
  <c r="R33" i="8"/>
  <c r="R36" i="8" s="1"/>
  <c r="R46" i="8"/>
  <c r="R91" i="8"/>
  <c r="S30" i="8"/>
  <c r="R98" i="8"/>
  <c r="R115" i="8"/>
  <c r="J259" i="8"/>
  <c r="J165" i="8"/>
  <c r="J167" i="8" s="1"/>
  <c r="U75" i="8"/>
  <c r="O147" i="8"/>
  <c r="O192" i="8"/>
  <c r="O242" i="8" s="1"/>
  <c r="M180" i="8"/>
  <c r="M179" i="8"/>
  <c r="M178" i="8" s="1"/>
  <c r="M184" i="8" s="1"/>
  <c r="M194" i="8" s="1"/>
  <c r="M182" i="8"/>
  <c r="X145" i="8"/>
  <c r="R28" i="11" l="1"/>
  <c r="R37" i="19" s="1"/>
  <c r="AM11" i="8"/>
  <c r="R27" i="11"/>
  <c r="R36" i="19" s="1"/>
  <c r="AB203" i="8"/>
  <c r="J89" i="8"/>
  <c r="AM12" i="8" s="1"/>
  <c r="AN11" i="8"/>
  <c r="AP11" i="8" s="1"/>
  <c r="N82" i="8"/>
  <c r="N152" i="8" s="1"/>
  <c r="Q129" i="8"/>
  <c r="Q190" i="8" s="1"/>
  <c r="Q240" i="8" s="1"/>
  <c r="Q140" i="8"/>
  <c r="Q135" i="8" s="1"/>
  <c r="Q101" i="8" s="1"/>
  <c r="Q54" i="8"/>
  <c r="Q51" i="8" s="1"/>
  <c r="Q60" i="8" s="1"/>
  <c r="P52" i="8"/>
  <c r="P124" i="8"/>
  <c r="P60" i="8"/>
  <c r="P49" i="8"/>
  <c r="N179" i="8"/>
  <c r="N178" i="8" s="1"/>
  <c r="N184" i="8" s="1"/>
  <c r="N194" i="8" s="1"/>
  <c r="N180" i="8"/>
  <c r="N182" i="8"/>
  <c r="O61" i="8"/>
  <c r="O181" i="8" s="1"/>
  <c r="O232" i="8"/>
  <c r="O79" i="8"/>
  <c r="O77" i="8"/>
  <c r="AK14" i="8"/>
  <c r="H33" i="19" s="1"/>
  <c r="L194" i="8"/>
  <c r="M83" i="8"/>
  <c r="M234" i="8"/>
  <c r="M133" i="8"/>
  <c r="M152" i="8"/>
  <c r="J217" i="8"/>
  <c r="AD195" i="8"/>
  <c r="J195" i="8"/>
  <c r="AG12" i="8"/>
  <c r="G31" i="19" s="1"/>
  <c r="AD194" i="8"/>
  <c r="S137" i="8"/>
  <c r="S102" i="8"/>
  <c r="S155" i="8" s="1"/>
  <c r="S119" i="8"/>
  <c r="S91" i="8"/>
  <c r="S46" i="8"/>
  <c r="T30" i="8"/>
  <c r="S33" i="8"/>
  <c r="S36" i="8" s="1"/>
  <c r="S98" i="8"/>
  <c r="S115" i="8"/>
  <c r="AH12" i="8"/>
  <c r="K158" i="8"/>
  <c r="J247" i="8"/>
  <c r="K160" i="8"/>
  <c r="P147" i="8"/>
  <c r="P192" i="8"/>
  <c r="P242" i="8" s="1"/>
  <c r="V75" i="8"/>
  <c r="L263" i="8"/>
  <c r="AJ14" i="8"/>
  <c r="Z57" i="8"/>
  <c r="Z106" i="8" s="1"/>
  <c r="P104" i="8"/>
  <c r="Y114" i="8"/>
  <c r="Z114" i="8" s="1"/>
  <c r="R37" i="8"/>
  <c r="R48" i="8"/>
  <c r="AJ12" i="8"/>
  <c r="J263" i="8"/>
  <c r="Z97" i="8"/>
  <c r="Y163" i="8"/>
  <c r="Z163" i="8" s="1"/>
  <c r="O186" i="8"/>
  <c r="O236" i="8"/>
  <c r="Q49" i="8"/>
  <c r="Y145" i="8"/>
  <c r="Z145" i="8" s="1"/>
  <c r="R111" i="8"/>
  <c r="R94" i="8"/>
  <c r="M195" i="8"/>
  <c r="AG195" i="8"/>
  <c r="M217" i="8"/>
  <c r="AG194" i="8"/>
  <c r="N83" i="8" l="1"/>
  <c r="N133" i="8"/>
  <c r="N234" i="8"/>
  <c r="Q104" i="8"/>
  <c r="Q100" i="8" s="1"/>
  <c r="R129" i="8"/>
  <c r="R190" i="8" s="1"/>
  <c r="R240" i="8" s="1"/>
  <c r="S37" i="8"/>
  <c r="S48" i="8"/>
  <c r="M259" i="8"/>
  <c r="M263" i="8" s="1"/>
  <c r="O180" i="8"/>
  <c r="O179" i="8"/>
  <c r="O178" i="8" s="1"/>
  <c r="O184" i="8" s="1"/>
  <c r="O194" i="8" s="1"/>
  <c r="O182" i="8"/>
  <c r="R49" i="8"/>
  <c r="N259" i="8"/>
  <c r="N263" i="8" s="1"/>
  <c r="Q124" i="8"/>
  <c r="Q232" i="8"/>
  <c r="Q79" i="8"/>
  <c r="Q61" i="8"/>
  <c r="Q181" i="8" s="1"/>
  <c r="Q77" i="8"/>
  <c r="AG14" i="8"/>
  <c r="G33" i="19" s="1"/>
  <c r="AF194" i="8"/>
  <c r="AF195" i="8"/>
  <c r="L195" i="8"/>
  <c r="L217" i="8"/>
  <c r="N217" i="8"/>
  <c r="AH194" i="8"/>
  <c r="AH195" i="8"/>
  <c r="N195" i="8"/>
  <c r="R54" i="8"/>
  <c r="R51" i="8" s="1"/>
  <c r="R60" i="8" s="1"/>
  <c r="R140" i="8"/>
  <c r="R135" i="8" s="1"/>
  <c r="R101" i="8" s="1"/>
  <c r="P186" i="8"/>
  <c r="P236" i="8"/>
  <c r="P100" i="8"/>
  <c r="Q52" i="8" s="1"/>
  <c r="S111" i="8"/>
  <c r="S94" i="8"/>
  <c r="T91" i="8"/>
  <c r="T102" i="8"/>
  <c r="T155" i="8" s="1"/>
  <c r="T33" i="8"/>
  <c r="T36" i="8" s="1"/>
  <c r="T46" i="8"/>
  <c r="T119" i="8"/>
  <c r="U30" i="8"/>
  <c r="T137" i="8"/>
  <c r="T115" i="8"/>
  <c r="T98" i="8"/>
  <c r="K244" i="8"/>
  <c r="K165" i="8"/>
  <c r="K167" i="8" s="1"/>
  <c r="K89" i="8" s="1"/>
  <c r="K117" i="8"/>
  <c r="W75" i="8"/>
  <c r="O82" i="8"/>
  <c r="P61" i="8"/>
  <c r="P181" i="8" s="1"/>
  <c r="P232" i="8"/>
  <c r="P79" i="8"/>
  <c r="P77" i="8"/>
  <c r="Q192" i="8"/>
  <c r="Q242" i="8" s="1"/>
  <c r="Q147" i="8"/>
  <c r="S129" i="8" l="1"/>
  <c r="S190" i="8" s="1"/>
  <c r="S240" i="8" s="1"/>
  <c r="Q82" i="8"/>
  <c r="Q83" i="8" s="1"/>
  <c r="P82" i="8"/>
  <c r="P234" i="8" s="1"/>
  <c r="R104" i="8"/>
  <c r="R100" i="8" s="1"/>
  <c r="U91" i="8"/>
  <c r="U33" i="8"/>
  <c r="U46" i="8"/>
  <c r="U137" i="8"/>
  <c r="U119" i="8"/>
  <c r="U102" i="8"/>
  <c r="U155" i="8" s="1"/>
  <c r="V30" i="8"/>
  <c r="U98" i="8"/>
  <c r="U115" i="8"/>
  <c r="R232" i="8"/>
  <c r="R79" i="8"/>
  <c r="R77" i="8"/>
  <c r="R61" i="8"/>
  <c r="R181" i="8" s="1"/>
  <c r="AJ194" i="8"/>
  <c r="AJ195" i="8"/>
  <c r="O217" i="8"/>
  <c r="O195" i="8"/>
  <c r="X75" i="8"/>
  <c r="Y75" i="8" s="1"/>
  <c r="Q180" i="8"/>
  <c r="Q179" i="8"/>
  <c r="Q178" i="8" s="1"/>
  <c r="Q184" i="8" s="1"/>
  <c r="Q182" i="8"/>
  <c r="P182" i="8"/>
  <c r="P179" i="8"/>
  <c r="P178" i="8" s="1"/>
  <c r="P184" i="8" s="1"/>
  <c r="P194" i="8" s="1"/>
  <c r="P180" i="8"/>
  <c r="T94" i="8"/>
  <c r="T111" i="8"/>
  <c r="O133" i="8"/>
  <c r="O152" i="8"/>
  <c r="O234" i="8"/>
  <c r="O83" i="8"/>
  <c r="R52" i="8"/>
  <c r="R124" i="8"/>
  <c r="S49" i="8"/>
  <c r="K64" i="8"/>
  <c r="T37" i="8"/>
  <c r="T48" i="8"/>
  <c r="AM13" i="8"/>
  <c r="AL13" i="8"/>
  <c r="K246" i="8"/>
  <c r="S140" i="8"/>
  <c r="S135" i="8" s="1"/>
  <c r="S101" i="8" s="1"/>
  <c r="S54" i="8"/>
  <c r="S51" i="8" s="1"/>
  <c r="R192" i="8"/>
  <c r="R242" i="8" s="1"/>
  <c r="R147" i="8"/>
  <c r="Q236" i="8"/>
  <c r="Q186" i="8"/>
  <c r="Q152" i="8" l="1"/>
  <c r="Q259" i="8" s="1"/>
  <c r="Q263" i="8" s="1"/>
  <c r="Q265" i="8" s="1"/>
  <c r="Q266" i="8" s="1"/>
  <c r="P152" i="8"/>
  <c r="P259" i="8" s="1"/>
  <c r="P263" i="8" s="1"/>
  <c r="P133" i="8"/>
  <c r="P83" i="8"/>
  <c r="Q234" i="8"/>
  <c r="Q133" i="8"/>
  <c r="T129" i="8"/>
  <c r="T190" i="8" s="1"/>
  <c r="T240" i="8" s="1"/>
  <c r="R82" i="8"/>
  <c r="R83" i="8" s="1"/>
  <c r="S104" i="8"/>
  <c r="S100" i="8" s="1"/>
  <c r="Z75" i="8"/>
  <c r="S52" i="8"/>
  <c r="S124" i="8"/>
  <c r="R186" i="8"/>
  <c r="R236" i="8"/>
  <c r="T49" i="8"/>
  <c r="R179" i="8"/>
  <c r="R178" i="8" s="1"/>
  <c r="R184" i="8" s="1"/>
  <c r="R180" i="8"/>
  <c r="R182" i="8"/>
  <c r="S192" i="8"/>
  <c r="S242" i="8" s="1"/>
  <c r="S147" i="8"/>
  <c r="U94" i="8"/>
  <c r="U111" i="8"/>
  <c r="T54" i="8"/>
  <c r="T51" i="8" s="1"/>
  <c r="T60" i="8" s="1"/>
  <c r="T140" i="8"/>
  <c r="T135" i="8" s="1"/>
  <c r="Q194" i="8"/>
  <c r="O259" i="8"/>
  <c r="O263" i="8" s="1"/>
  <c r="L158" i="8"/>
  <c r="K247" i="8"/>
  <c r="L160" i="8"/>
  <c r="AH13" i="8"/>
  <c r="V137" i="8"/>
  <c r="V91" i="8"/>
  <c r="V33" i="8"/>
  <c r="V102" i="8"/>
  <c r="V155" i="8" s="1"/>
  <c r="V119" i="8"/>
  <c r="V46" i="8"/>
  <c r="W30" i="8"/>
  <c r="V98" i="8"/>
  <c r="V115" i="8"/>
  <c r="P217" i="8"/>
  <c r="P195" i="8"/>
  <c r="AK195" i="8"/>
  <c r="AK194" i="8"/>
  <c r="S60" i="8"/>
  <c r="U36" i="8"/>
  <c r="R152" i="8" l="1"/>
  <c r="R133" i="8"/>
  <c r="R194" i="8"/>
  <c r="R195" i="8" s="1"/>
  <c r="R234" i="8"/>
  <c r="U129" i="8"/>
  <c r="U190" i="8" s="1"/>
  <c r="U240" i="8" s="1"/>
  <c r="T232" i="8"/>
  <c r="T79" i="8"/>
  <c r="T77" i="8"/>
  <c r="T61" i="8"/>
  <c r="T181" i="8" s="1"/>
  <c r="L244" i="8"/>
  <c r="L165" i="8"/>
  <c r="L167" i="8" s="1"/>
  <c r="L89" i="8" s="1"/>
  <c r="L117" i="8"/>
  <c r="S186" i="8"/>
  <c r="S236" i="8"/>
  <c r="V111" i="8"/>
  <c r="V94" i="8"/>
  <c r="S79" i="8"/>
  <c r="S77" i="8"/>
  <c r="S232" i="8"/>
  <c r="S61" i="8"/>
  <c r="S181" i="8" s="1"/>
  <c r="Q267" i="8"/>
  <c r="Q269" i="8"/>
  <c r="Q271" i="8" s="1"/>
  <c r="V36" i="8"/>
  <c r="Q220" i="8"/>
  <c r="Q221" i="8" s="1"/>
  <c r="Q195" i="8"/>
  <c r="AL195" i="8"/>
  <c r="AA202" i="8" s="1"/>
  <c r="Q6" i="11" s="1"/>
  <c r="Q217" i="8"/>
  <c r="AL194" i="8"/>
  <c r="AB202" i="8" s="1"/>
  <c r="U37" i="8"/>
  <c r="U48" i="8"/>
  <c r="T147" i="8"/>
  <c r="T192" i="8"/>
  <c r="T242" i="8" s="1"/>
  <c r="T104" i="8"/>
  <c r="T52" i="8"/>
  <c r="T124" i="8"/>
  <c r="W137" i="8"/>
  <c r="W91" i="8"/>
  <c r="W119" i="8"/>
  <c r="W46" i="8"/>
  <c r="W33" i="8"/>
  <c r="X30" i="8"/>
  <c r="W102" i="8"/>
  <c r="W155" i="8" s="1"/>
  <c r="W98" i="8"/>
  <c r="W115" i="8"/>
  <c r="T101" i="8"/>
  <c r="R217" i="8" l="1"/>
  <c r="R220" i="8"/>
  <c r="R221" i="8" s="1"/>
  <c r="V129" i="8"/>
  <c r="V190" i="8" s="1"/>
  <c r="V240" i="8" s="1"/>
  <c r="T82" i="8"/>
  <c r="T152" i="8" s="1"/>
  <c r="AA224" i="8"/>
  <c r="AA225" i="8" s="1"/>
  <c r="AA226" i="8" s="1"/>
  <c r="AA228" i="8" s="1"/>
  <c r="AM14" i="8"/>
  <c r="U49" i="8"/>
  <c r="X91" i="8"/>
  <c r="X33" i="8"/>
  <c r="X137" i="8"/>
  <c r="X119" i="8"/>
  <c r="X46" i="8"/>
  <c r="X102" i="8"/>
  <c r="X155" i="8" s="1"/>
  <c r="Y30" i="8"/>
  <c r="X98" i="8"/>
  <c r="X115" i="8"/>
  <c r="AL14" i="8"/>
  <c r="L246" i="8"/>
  <c r="T180" i="8"/>
  <c r="T182" i="8"/>
  <c r="T179" i="8"/>
  <c r="T178" i="8" s="1"/>
  <c r="T184" i="8" s="1"/>
  <c r="R9" i="11"/>
  <c r="R21" i="19" s="1"/>
  <c r="R8" i="11"/>
  <c r="R20" i="19" s="1"/>
  <c r="AB207" i="8"/>
  <c r="R6" i="11"/>
  <c r="R18" i="19" s="1"/>
  <c r="T236" i="8"/>
  <c r="T186" i="8"/>
  <c r="Q18" i="19"/>
  <c r="Q8" i="11"/>
  <c r="Q20" i="19" s="1"/>
  <c r="Q9" i="11"/>
  <c r="Q21" i="19" s="1"/>
  <c r="AA207" i="8"/>
  <c r="L64" i="8"/>
  <c r="W94" i="8"/>
  <c r="W111" i="8"/>
  <c r="W36" i="8"/>
  <c r="S182" i="8"/>
  <c r="S180" i="8"/>
  <c r="S179" i="8"/>
  <c r="S178" i="8" s="1"/>
  <c r="S184" i="8" s="1"/>
  <c r="S194" i="8" s="1"/>
  <c r="U140" i="8"/>
  <c r="U135" i="8" s="1"/>
  <c r="U101" i="8" s="1"/>
  <c r="T100" i="8"/>
  <c r="U54" i="8"/>
  <c r="U51" i="8" s="1"/>
  <c r="U60" i="8" s="1"/>
  <c r="V48" i="8"/>
  <c r="V37" i="8"/>
  <c r="S82" i="8"/>
  <c r="T83" i="8" l="1"/>
  <c r="T234" i="8"/>
  <c r="T133" i="8"/>
  <c r="W129" i="8"/>
  <c r="W190" i="8" s="1"/>
  <c r="W240" i="8" s="1"/>
  <c r="U79" i="8"/>
  <c r="U61" i="8"/>
  <c r="U181" i="8" s="1"/>
  <c r="U232" i="8"/>
  <c r="U77" i="8"/>
  <c r="X94" i="8"/>
  <c r="X111" i="8"/>
  <c r="Y102" i="8"/>
  <c r="Y155" i="8" s="1"/>
  <c r="Y46" i="8"/>
  <c r="Y91" i="8"/>
  <c r="Y137" i="8"/>
  <c r="Y119" i="8"/>
  <c r="Z30" i="8"/>
  <c r="Y33" i="8"/>
  <c r="Y98" i="8"/>
  <c r="Y115" i="8"/>
  <c r="S220" i="8"/>
  <c r="S221" i="8" s="1"/>
  <c r="S217" i="8"/>
  <c r="S195" i="8"/>
  <c r="T194" i="8"/>
  <c r="X36" i="8"/>
  <c r="U124" i="8"/>
  <c r="U52" i="8"/>
  <c r="V54" i="8"/>
  <c r="V51" i="8" s="1"/>
  <c r="V60" i="8" s="1"/>
  <c r="V140" i="8"/>
  <c r="V135" i="8" s="1"/>
  <c r="U104" i="8"/>
  <c r="R10" i="11"/>
  <c r="R22" i="19" s="1"/>
  <c r="R11" i="11"/>
  <c r="R23" i="19" s="1"/>
  <c r="R7" i="11"/>
  <c r="R19" i="19" s="1"/>
  <c r="L247" i="8"/>
  <c r="AH14" i="8"/>
  <c r="M158" i="8"/>
  <c r="M160" i="8"/>
  <c r="Q11" i="11"/>
  <c r="Q23" i="19" s="1"/>
  <c r="Q10" i="11"/>
  <c r="Q22" i="19" s="1"/>
  <c r="Q7" i="11"/>
  <c r="Q19" i="19" s="1"/>
  <c r="U192" i="8"/>
  <c r="U242" i="8" s="1"/>
  <c r="U147" i="8"/>
  <c r="S152" i="8"/>
  <c r="S234" i="8"/>
  <c r="S83" i="8"/>
  <c r="S133" i="8"/>
  <c r="V49" i="8"/>
  <c r="W37" i="8"/>
  <c r="W48" i="8"/>
  <c r="U82" i="8" l="1"/>
  <c r="U234" i="8" s="1"/>
  <c r="X129" i="8"/>
  <c r="X190" i="8" s="1"/>
  <c r="X240" i="8" s="1"/>
  <c r="V104" i="8"/>
  <c r="X37" i="8"/>
  <c r="X48" i="8"/>
  <c r="Y111" i="8"/>
  <c r="Y94" i="8"/>
  <c r="T220" i="8"/>
  <c r="T221" i="8" s="1"/>
  <c r="T195" i="8"/>
  <c r="T217" i="8"/>
  <c r="Z102" i="8"/>
  <c r="Z155" i="8" s="1"/>
  <c r="Z33" i="8"/>
  <c r="Z36" i="8" s="1"/>
  <c r="Z119" i="8"/>
  <c r="Z137" i="8"/>
  <c r="Z46" i="8"/>
  <c r="Z91" i="8"/>
  <c r="Z98" i="8"/>
  <c r="Z115" i="8"/>
  <c r="V147" i="8"/>
  <c r="V192" i="8"/>
  <c r="V242" i="8" s="1"/>
  <c r="W49" i="8"/>
  <c r="U152" i="8"/>
  <c r="U83" i="8"/>
  <c r="M244" i="8"/>
  <c r="M246" i="8" s="1"/>
  <c r="M165" i="8"/>
  <c r="M167" i="8" s="1"/>
  <c r="M89" i="8" s="1"/>
  <c r="M117" i="8"/>
  <c r="U100" i="8"/>
  <c r="V52" i="8" s="1"/>
  <c r="Y36" i="8"/>
  <c r="V232" i="8"/>
  <c r="V79" i="8"/>
  <c r="V77" i="8"/>
  <c r="V61" i="8"/>
  <c r="V181" i="8" s="1"/>
  <c r="U236" i="8"/>
  <c r="U186" i="8"/>
  <c r="V124" i="8"/>
  <c r="V101" i="8"/>
  <c r="U180" i="8"/>
  <c r="U182" i="8"/>
  <c r="U179" i="8"/>
  <c r="U178" i="8" s="1"/>
  <c r="U184" i="8" s="1"/>
  <c r="U133" i="8" l="1"/>
  <c r="Y129" i="8"/>
  <c r="Y190" i="8" s="1"/>
  <c r="Y240" i="8" s="1"/>
  <c r="U194" i="8"/>
  <c r="U220" i="8" s="1"/>
  <c r="U221" i="8" s="1"/>
  <c r="V82" i="8"/>
  <c r="V83" i="8" s="1"/>
  <c r="Z37" i="8"/>
  <c r="Z48" i="8"/>
  <c r="V182" i="8"/>
  <c r="V180" i="8"/>
  <c r="V179" i="8"/>
  <c r="V178" i="8" s="1"/>
  <c r="V184" i="8" s="1"/>
  <c r="M64" i="8"/>
  <c r="X49" i="8"/>
  <c r="M247" i="8"/>
  <c r="N158" i="8"/>
  <c r="N160" i="8"/>
  <c r="V100" i="8"/>
  <c r="W140" i="8"/>
  <c r="W135" i="8" s="1"/>
  <c r="W101" i="8" s="1"/>
  <c r="W54" i="8"/>
  <c r="Z94" i="8"/>
  <c r="Z111" i="8"/>
  <c r="V186" i="8"/>
  <c r="V236" i="8"/>
  <c r="Y37" i="8"/>
  <c r="Y48" i="8"/>
  <c r="V152" i="8" l="1"/>
  <c r="U195" i="8"/>
  <c r="U217" i="8"/>
  <c r="V234" i="8"/>
  <c r="V133" i="8"/>
  <c r="Z129" i="8"/>
  <c r="Z190" i="8" s="1"/>
  <c r="Z240" i="8" s="1"/>
  <c r="N117" i="8"/>
  <c r="N64" i="8" s="1"/>
  <c r="V194" i="8"/>
  <c r="Z49" i="8"/>
  <c r="Y49" i="8"/>
  <c r="X140" i="8"/>
  <c r="X135" i="8" s="1"/>
  <c r="X101" i="8" s="1"/>
  <c r="X54" i="8"/>
  <c r="X51" i="8" s="1"/>
  <c r="W192" i="8"/>
  <c r="W242" i="8" s="1"/>
  <c r="W147" i="8"/>
  <c r="N244" i="8"/>
  <c r="N246" i="8" s="1"/>
  <c r="N165" i="8"/>
  <c r="N167" i="8" s="1"/>
  <c r="N89" i="8" s="1"/>
  <c r="W51" i="8"/>
  <c r="W104" i="8"/>
  <c r="W100" i="8" s="1"/>
  <c r="X124" i="8" l="1"/>
  <c r="X52" i="8"/>
  <c r="X60" i="8"/>
  <c r="X147" i="8"/>
  <c r="X192" i="8"/>
  <c r="X242" i="8" s="1"/>
  <c r="Y140" i="8"/>
  <c r="Y135" i="8" s="1"/>
  <c r="Y101" i="8" s="1"/>
  <c r="Y54" i="8"/>
  <c r="Y51" i="8" s="1"/>
  <c r="X104" i="8"/>
  <c r="X100" i="8" s="1"/>
  <c r="W52" i="8"/>
  <c r="W124" i="8"/>
  <c r="W60" i="8"/>
  <c r="O158" i="8"/>
  <c r="O160" i="8"/>
  <c r="N247" i="8"/>
  <c r="V220" i="8"/>
  <c r="V221" i="8" s="1"/>
  <c r="V195" i="8"/>
  <c r="V217" i="8"/>
  <c r="Y104" i="8" l="1"/>
  <c r="Y100" i="8" s="1"/>
  <c r="Z140" i="8"/>
  <c r="Z135" i="8" s="1"/>
  <c r="Z101" i="8" s="1"/>
  <c r="Z54" i="8"/>
  <c r="Z51" i="8" s="1"/>
  <c r="O244" i="8"/>
  <c r="O246" i="8" s="1"/>
  <c r="O165" i="8"/>
  <c r="O167" i="8" s="1"/>
  <c r="O89" i="8" s="1"/>
  <c r="O117" i="8"/>
  <c r="X232" i="8"/>
  <c r="X79" i="8"/>
  <c r="X77" i="8"/>
  <c r="X61" i="8"/>
  <c r="X181" i="8" s="1"/>
  <c r="W79" i="8"/>
  <c r="W232" i="8"/>
  <c r="W61" i="8"/>
  <c r="W181" i="8" s="1"/>
  <c r="W77" i="8"/>
  <c r="W186" i="8"/>
  <c r="W236" i="8"/>
  <c r="Y192" i="8"/>
  <c r="Y242" i="8" s="1"/>
  <c r="Y147" i="8"/>
  <c r="Y124" i="8"/>
  <c r="Y52" i="8"/>
  <c r="Y60" i="8"/>
  <c r="X236" i="8"/>
  <c r="X186" i="8"/>
  <c r="W82" i="8" l="1"/>
  <c r="W234" i="8" s="1"/>
  <c r="Z104" i="8"/>
  <c r="Z100" i="8" s="1"/>
  <c r="X82" i="8"/>
  <c r="X133" i="8" s="1"/>
  <c r="O64" i="8"/>
  <c r="W182" i="8"/>
  <c r="W179" i="8"/>
  <c r="W178" i="8" s="1"/>
  <c r="W184" i="8" s="1"/>
  <c r="W194" i="8" s="1"/>
  <c r="W180" i="8"/>
  <c r="W152" i="8"/>
  <c r="W133" i="8"/>
  <c r="P158" i="8"/>
  <c r="P160" i="8"/>
  <c r="O247" i="8"/>
  <c r="X182" i="8"/>
  <c r="X180" i="8"/>
  <c r="X179" i="8"/>
  <c r="X178" i="8" s="1"/>
  <c r="X184" i="8" s="1"/>
  <c r="X194" i="8" s="1"/>
  <c r="Z192" i="8"/>
  <c r="Z242" i="8" s="1"/>
  <c r="Z147" i="8"/>
  <c r="Y77" i="8"/>
  <c r="Y61" i="8"/>
  <c r="Y181" i="8" s="1"/>
  <c r="Y79" i="8"/>
  <c r="Y232" i="8"/>
  <c r="Y186" i="8"/>
  <c r="Y236" i="8"/>
  <c r="Z124" i="8"/>
  <c r="Z52" i="8"/>
  <c r="Z60" i="8"/>
  <c r="X234" i="8" l="1"/>
  <c r="X152" i="8"/>
  <c r="X83" i="8"/>
  <c r="W83" i="8"/>
  <c r="P117" i="8"/>
  <c r="P64" i="8" s="1"/>
  <c r="X220" i="8"/>
  <c r="X221" i="8" s="1"/>
  <c r="X217" i="8"/>
  <c r="X195" i="8"/>
  <c r="Z61" i="8"/>
  <c r="Z181" i="8" s="1"/>
  <c r="Z77" i="8"/>
  <c r="Z232" i="8"/>
  <c r="Z79" i="8"/>
  <c r="Y82" i="8"/>
  <c r="W220" i="8"/>
  <c r="W221" i="8" s="1"/>
  <c r="W195" i="8"/>
  <c r="W217" i="8"/>
  <c r="Z236" i="8"/>
  <c r="Z186" i="8"/>
  <c r="Y179" i="8"/>
  <c r="Y178" i="8" s="1"/>
  <c r="Y184" i="8" s="1"/>
  <c r="Y194" i="8" s="1"/>
  <c r="Y180" i="8"/>
  <c r="Y182" i="8"/>
  <c r="P244" i="8"/>
  <c r="P246" i="8" s="1"/>
  <c r="P165" i="8"/>
  <c r="P167" i="8" s="1"/>
  <c r="P89" i="8" s="1"/>
  <c r="Q160" i="8" l="1"/>
  <c r="P247" i="8"/>
  <c r="Q158" i="8"/>
  <c r="Y217" i="8"/>
  <c r="Y195" i="8"/>
  <c r="Y220" i="8"/>
  <c r="Y221" i="8" s="1"/>
  <c r="Y133" i="8"/>
  <c r="Y83" i="8"/>
  <c r="Y152" i="8"/>
  <c r="Y234" i="8"/>
  <c r="Z82" i="8"/>
  <c r="Z180" i="8"/>
  <c r="Z182" i="8"/>
  <c r="Z179" i="8"/>
  <c r="Z178" i="8" s="1"/>
  <c r="Z184" i="8" s="1"/>
  <c r="Z194" i="8" s="1"/>
  <c r="Z200" i="8" s="1"/>
  <c r="Z201" i="8" l="1"/>
  <c r="Z195" i="8"/>
  <c r="Z220" i="8"/>
  <c r="Z221" i="8" s="1"/>
  <c r="Z217" i="8"/>
  <c r="Q244" i="8"/>
  <c r="Q246" i="8" s="1"/>
  <c r="Q165" i="8"/>
  <c r="Q167" i="8" s="1"/>
  <c r="Q89" i="8" s="1"/>
  <c r="Q117" i="8"/>
  <c r="Z152" i="8"/>
  <c r="Z133" i="8"/>
  <c r="Z83" i="8"/>
  <c r="Z234" i="8"/>
  <c r="Z202" i="8" l="1"/>
  <c r="Z207" i="8" s="1"/>
  <c r="Z210" i="8" s="1"/>
  <c r="Z213" i="8" s="1"/>
  <c r="Q64" i="8"/>
  <c r="R158" i="8"/>
  <c r="Q249" i="8"/>
  <c r="Q250" i="8" s="1"/>
  <c r="R160" i="8"/>
  <c r="Q247" i="8"/>
  <c r="U11" i="19" l="1"/>
  <c r="AX287" i="8"/>
  <c r="U10" i="19"/>
  <c r="AX297" i="8"/>
  <c r="AA251" i="8"/>
  <c r="AA253" i="8" s="1"/>
  <c r="AA255" i="8" s="1"/>
  <c r="R117" i="8"/>
  <c r="R64" i="8" s="1"/>
  <c r="R244" i="8"/>
  <c r="R246" i="8" s="1"/>
  <c r="R165" i="8"/>
  <c r="R167" i="8" s="1"/>
  <c r="R89" i="8" s="1"/>
  <c r="R249" i="8" l="1"/>
  <c r="R250" i="8" s="1"/>
  <c r="S158" i="8"/>
  <c r="S160" i="8"/>
  <c r="R247" i="8"/>
  <c r="S244" i="8" l="1"/>
  <c r="S246" i="8" s="1"/>
  <c r="S165" i="8"/>
  <c r="S167" i="8" s="1"/>
  <c r="S89" i="8" s="1"/>
  <c r="S117" i="8"/>
  <c r="S64" i="8" l="1"/>
  <c r="S249" i="8"/>
  <c r="S250" i="8" s="1"/>
  <c r="S247" i="8"/>
  <c r="T158" i="8"/>
  <c r="T160" i="8"/>
  <c r="T244" i="8" l="1"/>
  <c r="T246" i="8" s="1"/>
  <c r="T165" i="8"/>
  <c r="T167" i="8" s="1"/>
  <c r="T89" i="8" s="1"/>
  <c r="T117" i="8"/>
  <c r="T64" i="8" l="1"/>
  <c r="T249" i="8"/>
  <c r="T250" i="8" s="1"/>
  <c r="U160" i="8"/>
  <c r="T247" i="8"/>
  <c r="U158" i="8"/>
  <c r="U117" i="8" l="1"/>
  <c r="U64" i="8" s="1"/>
  <c r="U244" i="8"/>
  <c r="U246" i="8" s="1"/>
  <c r="U165" i="8"/>
  <c r="U167" i="8" s="1"/>
  <c r="U89" i="8" s="1"/>
  <c r="V158" i="8" l="1"/>
  <c r="U249" i="8"/>
  <c r="U250" i="8" s="1"/>
  <c r="V160" i="8"/>
  <c r="U247" i="8"/>
  <c r="V244" i="8" l="1"/>
  <c r="V246" i="8" s="1"/>
  <c r="V165" i="8"/>
  <c r="V167" i="8" s="1"/>
  <c r="V89" i="8" s="1"/>
  <c r="V117" i="8"/>
  <c r="V64" i="8" l="1"/>
  <c r="W158" i="8"/>
  <c r="V247" i="8"/>
  <c r="V249" i="8"/>
  <c r="V250" i="8" s="1"/>
  <c r="W160" i="8"/>
  <c r="W244" i="8" l="1"/>
  <c r="W246" i="8" s="1"/>
  <c r="W165" i="8"/>
  <c r="W167" i="8" s="1"/>
  <c r="W89" i="8" s="1"/>
  <c r="W117" i="8"/>
  <c r="W64" i="8" l="1"/>
  <c r="W249" i="8"/>
  <c r="W250" i="8" s="1"/>
  <c r="X158" i="8"/>
  <c r="X160" i="8"/>
  <c r="W247" i="8"/>
  <c r="X244" i="8" l="1"/>
  <c r="X246" i="8" s="1"/>
  <c r="X165" i="8"/>
  <c r="X167" i="8" s="1"/>
  <c r="X89" i="8" s="1"/>
  <c r="X117" i="8"/>
  <c r="X64" i="8" l="1"/>
  <c r="X249" i="8"/>
  <c r="X250" i="8" s="1"/>
  <c r="Y158" i="8"/>
  <c r="Y160" i="8"/>
  <c r="X247" i="8"/>
  <c r="Y244" i="8" l="1"/>
  <c r="Y246" i="8" s="1"/>
  <c r="Y165" i="8"/>
  <c r="Y167" i="8" s="1"/>
  <c r="Y89" i="8" s="1"/>
  <c r="Y117" i="8"/>
  <c r="Y64" i="8" l="1"/>
  <c r="Y249" i="8"/>
  <c r="Y250" i="8" s="1"/>
  <c r="Z158" i="8"/>
  <c r="Z160" i="8"/>
  <c r="Y247" i="8"/>
  <c r="Z117" i="8" l="1"/>
  <c r="Z64" i="8" s="1"/>
  <c r="Z244" i="8"/>
  <c r="Z246" i="8" s="1"/>
  <c r="Z165" i="8"/>
  <c r="Z167" i="8" s="1"/>
  <c r="Z89" i="8" s="1"/>
  <c r="Z249" i="8" l="1"/>
  <c r="Z250" i="8" s="1"/>
  <c r="Z24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JOÃO PINTO DO SOUTO DE SOUSA EIRÓ</author>
  </authors>
  <commentList>
    <comment ref="E38" authorId="0" shapeId="0" xr:uid="{C667B52B-56AB-40A9-9A2E-2180CB20C44D}">
      <text>
        <r>
          <rPr>
            <sz val="11"/>
            <color rgb="FF000000"/>
            <rFont val="Arial"/>
            <family val="2"/>
          </rPr>
          <t>Due to the specialized and expensive nature of the industry, new entrants would face difficulties in producing lower costs per unit. However, despite having a stabilished structure, it is not as cost-efficient as other bigger players in the market.</t>
        </r>
      </text>
    </comment>
    <comment ref="E39" authorId="0" shapeId="0" xr:uid="{48342F32-C644-4C94-A34A-706E7032BEE8}">
      <text>
        <r>
          <rPr>
            <sz val="11"/>
            <color rgb="FF000000"/>
            <rFont val="Arial"/>
            <family val="2"/>
          </rPr>
          <t>IonQ's specialized hardware, trapped-ion tech and patents filed make it extremely hard for new entrants to enter the market without a significant level of innovation or the development of a clearly distinct product.</t>
        </r>
      </text>
    </comment>
    <comment ref="E40" authorId="0" shapeId="0" xr:uid="{4D13047F-B501-4131-8C48-3279B24DBD5B}">
      <text>
        <r>
          <rPr>
            <sz val="11"/>
            <color rgb="FF000000"/>
            <rFont val="Arial"/>
            <family val="2"/>
          </rPr>
          <t>It is still not a cost-efficient industry, with new entrants having to invest heavily in expensive R&amp;D and infrastructure, in order to enter the industry.</t>
        </r>
      </text>
    </comment>
    <comment ref="E41" authorId="0" shapeId="0" xr:uid="{D0A218F7-842E-4113-90FC-622A3B91F344}">
      <text>
        <r>
          <rPr>
            <sz val="11"/>
            <color rgb="FF000000"/>
            <rFont val="Arial"/>
            <family val="2"/>
          </rPr>
          <t xml:space="preserve">IonQ’s established relationships with cloud providers and hardware suppliers create significant barriers for new entrants to access these channels easily. 
</t>
        </r>
      </text>
    </comment>
    <comment ref="E42" authorId="0" shapeId="0" xr:uid="{29BAB503-9258-44E2-A6F8-EE1F32D4E7E0}">
      <text>
        <r>
          <rPr>
            <sz val="11"/>
            <color rgb="FF000000"/>
            <rFont val="Arial"/>
            <family val="2"/>
          </rPr>
          <t>High compliance costs, export control laws and data security regulations pose a significant barrier for new entrants in quantum computing industry.</t>
        </r>
      </text>
    </comment>
    <comment ref="E43" authorId="0" shapeId="0" xr:uid="{0167BE81-7932-4EB2-93D4-505AC63CE0D8}">
      <text>
        <r>
          <rPr>
            <sz val="11"/>
            <color rgb="FF000000"/>
            <rFont val="Arial"/>
            <family val="2"/>
          </rPr>
          <t>Due to the recency of the technology and the possibility of cloud-based access. Customers are willing to try several different solutions before committing to one.</t>
        </r>
      </text>
    </comment>
    <comment ref="E45" authorId="0" shapeId="0" xr:uid="{1557914F-4C38-4BBA-9E12-3AB308505144}">
      <text>
        <r>
          <rPr>
            <sz val="11"/>
            <color rgb="FF000000"/>
            <rFont val="Arial"/>
            <family val="2"/>
          </rPr>
          <t xml:space="preserve">Limited suppliers for specialized components needed for quantum technology, such as high-precision lasers, optics and vacuum systems, gives them significant bargaining power.  </t>
        </r>
      </text>
    </comment>
    <comment ref="E46" authorId="0" shapeId="0" xr:uid="{9E64967B-EADE-48B6-AA61-5B36BBEABC70}">
      <text>
        <r>
          <rPr>
            <sz val="11"/>
            <color rgb="FF000000"/>
            <rFont val="Arial"/>
            <family val="2"/>
          </rPr>
          <t>Components are specialized but not unique. Several suppliers across industries like telecommunications and semiconductor manufacturing offer similar technologies, though they remain difficult to replace.</t>
        </r>
      </text>
    </comment>
    <comment ref="E47" authorId="0" shapeId="0" xr:uid="{3791E154-5E16-41E2-A335-F5A87CAFA40E}">
      <text>
        <r>
          <rPr>
            <sz val="11"/>
            <color rgb="FF000000"/>
            <rFont val="Arial"/>
            <family val="2"/>
          </rPr>
          <t xml:space="preserve">It is a highly specialized industry with a limited number of suppliers. IonQ's trapped-ion tech allows for lower switching costs compared to other competitors, which utilize superconducting qubits. However switching costs still cause concerns in terms of delays, cost-efficiency and compatibility with the system. </t>
        </r>
      </text>
    </comment>
    <comment ref="E48" authorId="0" shapeId="0" xr:uid="{EF35D5DC-78A3-478B-93CB-2DC16CA87096}">
      <text>
        <r>
          <rPr>
            <sz val="11"/>
            <color rgb="FF000000"/>
            <rFont val="Arial"/>
            <family val="2"/>
          </rPr>
          <t>High barriers for new entrants and a need for specialized knowledge, make it unlikely for suppliers to entry the market.</t>
        </r>
      </text>
    </comment>
    <comment ref="E49" authorId="0" shapeId="0" xr:uid="{D99DF1F7-98E6-4F07-8096-8C94E7C4B9A1}">
      <text>
        <r>
          <rPr>
            <sz val="11"/>
            <color rgb="FF000000"/>
            <rFont val="Arial"/>
            <family val="2"/>
          </rPr>
          <t xml:space="preserve">Despite being an emerging industry, it still represents a small portion of suppliers' revenue. </t>
        </r>
      </text>
    </comment>
    <comment ref="E51" authorId="0" shapeId="0" xr:uid="{C651D5A9-8D72-4004-9FB9-7A0DFD32239F}">
      <text>
        <r>
          <rPr>
            <sz val="11"/>
            <color rgb="FF000000"/>
            <rFont val="Arial"/>
            <family val="2"/>
          </rPr>
          <t>Limited number of buyers, however the industry is rapidly expanding, meaning that companies are less dependent on individual buyers than they used to be.</t>
        </r>
      </text>
    </comment>
    <comment ref="E52" authorId="0" shapeId="0" xr:uid="{B9574015-2DA0-4170-A4A2-A140DA2BA4A0}">
      <text>
        <r>
          <rPr>
            <sz val="11"/>
            <color rgb="FF000000"/>
            <rFont val="Arial"/>
            <family val="2"/>
          </rPr>
          <t xml:space="preserve">IonQ's revenue is heavily dependent on large purchases. Major contracts include the US Air Force Research Lab ($54.5M), the University of Maryland ($9M) and the Applied Research Laboratory for Intelligence and Security ($5.7M).  </t>
        </r>
      </text>
    </comment>
    <comment ref="E53" authorId="0" shapeId="0" xr:uid="{85F75DC1-EC62-44E0-BCA5-2F80F9AAF65A}">
      <text>
        <r>
          <rPr>
            <sz val="11"/>
            <color rgb="FF000000"/>
            <rFont val="Arial"/>
            <family val="2"/>
          </rPr>
          <t xml:space="preserve">Cloud access to the technology gives customer the possibility to switch more easily, giving them a higher bargaining power.
</t>
        </r>
        <r>
          <rPr>
            <sz val="11"/>
            <color rgb="FF000000"/>
            <rFont val="Arial"/>
            <family val="2"/>
          </rPr>
          <t xml:space="preserve"> </t>
        </r>
      </text>
    </comment>
    <comment ref="E54" authorId="0" shapeId="0" xr:uid="{F49E4DF7-D35B-4508-BBFC-E58C2D1DC845}">
      <text>
        <r>
          <rPr>
            <sz val="11"/>
            <color rgb="FF000000"/>
            <rFont val="Arial"/>
            <family val="2"/>
          </rPr>
          <t>Customers are highly sensitive to pricing due to the experimental nature and high costs of quantum computing, though decisions are equally driven by performance, platform access, and long-term strategic value.</t>
        </r>
      </text>
    </comment>
    <comment ref="E55" authorId="0" shapeId="0" xr:uid="{23E85ADF-F4A5-4609-8CDB-604ADFCC0FAB}">
      <text>
        <r>
          <rPr>
            <sz val="11"/>
            <color rgb="FF000000"/>
            <rFont val="Arial"/>
            <family val="2"/>
          </rPr>
          <t xml:space="preserve">IonQ's customers tend to be knowledgeable in both the technology and the market and are very likely to compare and test multiple options beforehand, giving them significant leverage. </t>
        </r>
      </text>
    </comment>
    <comment ref="E57" authorId="0" shapeId="0" xr:uid="{3FC57E50-A722-4405-93BC-74B980C347C5}">
      <text>
        <r>
          <rPr>
            <sz val="11"/>
            <color rgb="FF000000"/>
            <rFont val="Arial"/>
            <family val="2"/>
          </rPr>
          <t xml:space="preserve">With competitors such as Google, Microsoft, IBM and Rigetti. It is a fiercely competitive market.
</t>
        </r>
      </text>
    </comment>
    <comment ref="E58" authorId="0" shapeId="0" xr:uid="{9632F937-6FAB-4DCF-B0CD-25A37B0D94D4}">
      <text>
        <r>
          <rPr>
            <sz val="11"/>
            <color rgb="FF000000"/>
            <rFont val="Arial"/>
            <family val="2"/>
          </rPr>
          <t xml:space="preserve">According to Fortune Business Insight and Statista, the Quantum Computing Industry is expected to grow at a CAGR of 30.08% over the next five years, with the market size increasing from $1.16 billion to $4.32 billion. This rapid growth reduces the intensity of competition for market share. </t>
        </r>
      </text>
    </comment>
    <comment ref="E59" authorId="0" shapeId="0" xr:uid="{07108178-F75D-4174-A97A-FDF17BB59978}">
      <text>
        <r>
          <rPr>
            <sz val="11"/>
            <color rgb="FF000000"/>
            <rFont val="Arial"/>
            <family val="2"/>
          </rPr>
          <t>Similar cloud access and developer tools, differences in quantum hardware technologies (trapped-ion vs. superconducting qubits) which result in distinct performance characteristics (coherence time, fidelity, qubit connectivity).</t>
        </r>
      </text>
    </comment>
    <comment ref="E60" authorId="0" shapeId="0" xr:uid="{0001A4FC-6C6F-4E95-AAC0-40B4088F9A8F}">
      <text>
        <r>
          <rPr>
            <sz val="11"/>
            <color rgb="FF000000"/>
            <rFont val="Arial"/>
            <family val="2"/>
          </rPr>
          <t>High R&amp;D sunk costs, government funding, long-term commitments and reliance on highly specialized quantum hardware make exiting the industry financially and strategically challenging.</t>
        </r>
      </text>
    </comment>
    <comment ref="E61" authorId="0" shapeId="0" xr:uid="{8F88F71D-E5B1-4283-8CAC-52D93EAAD0B4}">
      <text>
        <r>
          <rPr>
            <sz val="11"/>
            <color rgb="FF000000"/>
            <rFont val="Arial"/>
            <family val="2"/>
          </rPr>
          <t>Due to a substantial investment in R&amp;D and infrastructure, IonQ faces high fixed costs. This creates an increased competitive pressure in order to achieve profitability and reduce costs through economies of scale.</t>
        </r>
      </text>
    </comment>
    <comment ref="E63" authorId="0" shapeId="0" xr:uid="{4B8D9915-F84F-4A5C-9A30-8E2E41823A51}">
      <text>
        <r>
          <rPr>
            <sz val="11"/>
            <color rgb="FF000000"/>
            <rFont val="Arial"/>
            <family val="2"/>
          </rPr>
          <t>Despite quantum computing's ability to solve problems that classical computing is not able, it faces cost-efficiency issues, making it more expensive.</t>
        </r>
      </text>
    </comment>
    <comment ref="E64" authorId="0" shapeId="0" xr:uid="{B8183020-0A3F-4A31-B609-3BD008A9DC36}">
      <text>
        <r>
          <rPr>
            <sz val="11"/>
            <color rgb="FF000000"/>
            <rFont val="Arial"/>
            <family val="2"/>
          </rPr>
          <t>Quantum computing addresses niche, high-value problems that other technologies currently cannot replicate effectively.</t>
        </r>
      </text>
    </comment>
    <comment ref="E65" authorId="0" shapeId="0" xr:uid="{09411C1E-429E-4C72-B4BD-54EF480E1D04}">
      <text>
        <r>
          <rPr>
            <sz val="11"/>
            <color rgb="FF000000"/>
            <rFont val="Arial"/>
            <family val="2"/>
          </rPr>
          <t>Quantum computing is seen as highly specialized, with distinct differences in technology and application, when compared to potential alternatives.</t>
        </r>
      </text>
    </comment>
    <comment ref="E66" authorId="0" shapeId="0" xr:uid="{68A5C389-AAF4-42DA-8E09-5910C10DDDE6}">
      <text>
        <r>
          <rPr>
            <sz val="11"/>
            <color rgb="FF000000"/>
            <rFont val="Arial"/>
            <family val="2"/>
          </rPr>
          <t xml:space="preserve">For what quantum computing is able to do in areas such as factoring large data, performing complex simulations and solving optimization problems, there are no direct substitutes on the same level, in terms of speed and efficiency.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JOÃO PINTO DO SOUTO DE SOUSA EIRÓ</author>
  </authors>
  <commentList>
    <comment ref="F13" authorId="0" shapeId="0" xr:uid="{C7BB973C-AD35-4E48-A6E7-F77F457201C3}">
      <text>
        <r>
          <rPr>
            <sz val="11"/>
            <color rgb="FF000000"/>
            <rFont val="Arial"/>
            <family val="2"/>
          </rPr>
          <t xml:space="preserve">Management mentioned starting hardware sales only in 2022. https://s28.q4cdn.com/828571518/files/doc_financials/2021/q4/TRANSCRIPT-IonQ-Inc-Q4-2021-Earnings-Call-28-March-2022.pdf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Gabriela Major</author>
  </authors>
  <commentList>
    <comment ref="E130" authorId="0" shapeId="0" xr:uid="{F62A8D5A-CFFD-6F43-AF66-D24E91767423}">
      <text>
        <r>
          <rPr>
            <b/>
            <sz val="10"/>
            <color rgb="FF000000"/>
            <rFont val="Tahoma"/>
            <family val="2"/>
          </rPr>
          <t>Gabriela Major:</t>
        </r>
        <r>
          <rPr>
            <sz val="10"/>
            <color rgb="FF000000"/>
            <rFont val="Tahoma"/>
            <family val="2"/>
          </rPr>
          <t xml:space="preserve">
</t>
        </r>
        <r>
          <rPr>
            <sz val="10"/>
            <color rgb="FF000000"/>
            <rFont val="Tahoma"/>
            <family val="2"/>
          </rPr>
          <t>Cash From (Repay) ST Debt negativo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林伊婧</author>
  </authors>
  <commentList>
    <comment ref="O49" authorId="0" shapeId="0" xr:uid="{B8FD7864-F0A7-4F4C-8C25-B71F8344A4CD}">
      <text>
        <r>
          <rPr>
            <sz val="10"/>
            <color rgb="FF000000"/>
            <rFont val="Tahoma"/>
            <family val="2"/>
          </rPr>
          <t>https://ionq.com/news/ionq-and-south-koreas-sungkyunkwan-university-renew-international-quantum</t>
        </r>
      </text>
    </comment>
    <comment ref="O51" authorId="0" shapeId="0" xr:uid="{08605B7A-5D91-FA49-A9F5-A373ECB9226A}">
      <text>
        <r>
          <rPr>
            <sz val="10"/>
            <color rgb="FF000000"/>
            <rFont val="Tahoma"/>
            <family val="2"/>
          </rPr>
          <t>https://ionq.com/news/ionq-announces-largest-2024-u-s-quantum-contract-award-of-usd54-5m-with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Madalena</author>
    <author>Raul Vasconcelos</author>
    <author>Raul Vasconcelos da Silva</author>
    <author>tc={CB5C8E83-E3D0-4441-B6E0-D862C650B5F5}</author>
    <author>tc={CE396053-595E-4126-9C71-0875E5897884}</author>
    <author>tc={E2CDF95A-7B2F-4661-BCB3-C007122C6CFD}</author>
    <author>tc={CD092673-94DE-4108-B6AF-FC73424C056A}</author>
    <author>tc={62E50C66-BA1C-4031-B660-F25771E0B7AB}</author>
    <author>tc={9EF6C6D7-5E70-49FE-A672-ED08A0372EC5}</author>
  </authors>
  <commentList>
    <comment ref="Q17" authorId="0" shapeId="0" xr:uid="{3320B173-B145-4F92-BBDC-D505B58FF354}">
      <text>
        <r>
          <rPr>
            <b/>
            <sz val="9"/>
            <color rgb="FF000000"/>
            <rFont val="Tahoma"/>
            <family val="2"/>
          </rPr>
          <t>Madalena:</t>
        </r>
        <r>
          <rPr>
            <sz val="9"/>
            <color rgb="FF000000"/>
            <rFont val="Tahoma"/>
            <family val="2"/>
          </rPr>
          <t xml:space="preserve">
</t>
        </r>
        <r>
          <rPr>
            <sz val="9"/>
            <color rgb="FF000000"/>
            <rFont val="Tahoma"/>
            <family val="2"/>
          </rPr>
          <t>Reference year for Projection</t>
        </r>
      </text>
    </comment>
    <comment ref="W19" authorId="0" shapeId="0" xr:uid="{8167DD12-02FF-4A57-A38C-4B6B3EC1C46A}">
      <text>
        <r>
          <rPr>
            <b/>
            <sz val="9"/>
            <color indexed="81"/>
            <rFont val="Tahoma"/>
            <family val="2"/>
          </rPr>
          <t>Madalena:</t>
        </r>
        <r>
          <rPr>
            <sz val="9"/>
            <color indexed="81"/>
            <rFont val="Tahoma"/>
            <family val="2"/>
          </rPr>
          <t xml:space="preserve">
Reference year for Projection
</t>
        </r>
      </text>
    </comment>
    <comment ref="B39" authorId="1" shapeId="0" xr:uid="{00000000-0006-0000-0600-000003000000}">
      <text>
        <r>
          <rPr>
            <b/>
            <sz val="9"/>
            <color indexed="81"/>
            <rFont val="Tahoma"/>
            <family val="2"/>
          </rPr>
          <t>Raul Vasconcelos:</t>
        </r>
        <r>
          <rPr>
            <sz val="9"/>
            <color indexed="81"/>
            <rFont val="Tahoma"/>
            <family val="2"/>
          </rPr>
          <t xml:space="preserve">
Forecast based on historical percentages or growth assumptions</t>
        </r>
      </text>
    </comment>
    <comment ref="B73" authorId="2" shapeId="0" xr:uid="{00000000-0006-0000-0600-000005000000}">
      <text>
        <r>
          <rPr>
            <sz val="11"/>
            <color theme="1"/>
            <rFont val="Arial"/>
            <family val="2"/>
          </rPr>
          <t>Forecast as % of revenue for maximum simplicity. It is encouraged to build a more complex model using bond yields, exchange rates and exposure to each region (not always necessary)</t>
        </r>
      </text>
    </comment>
    <comment ref="B107" authorId="2" shapeId="0" xr:uid="{00000000-0006-0000-0600-000006000000}">
      <text>
        <r>
          <rPr>
            <sz val="11"/>
            <color rgb="FF000000"/>
            <rFont val="Arial"/>
            <family val="2"/>
          </rPr>
          <t>Growth with R&amp;D or with part of the capex, should find what is the most reliable method for the company</t>
        </r>
      </text>
    </comment>
    <comment ref="B124" authorId="3" shapeId="0" xr:uid="{00000000-0006-0000-0600-000007000000}">
      <text>
        <t>[Threaded comment]
Your version of Excel allows you to read this threaded comment; however, any edits to it will get removed if the file is opened in a newer version of Excel. Learn more: https://go.microsoft.com/fwlink/?linkid=870924
Comment:
    Chipotle does not have any Intangibles in its Balance Sheet, except for Goodwill. Hence Depreciation and Amortization are forecasted only as % of PP&amp;E.</t>
      </text>
    </comment>
    <comment ref="B126" authorId="2" shapeId="0" xr:uid="{00000000-0006-0000-0600-000008000000}">
      <text>
        <r>
          <rPr>
            <sz val="11"/>
            <color theme="1"/>
            <rFont val="Arial"/>
            <family val="2"/>
          </rPr>
          <t xml:space="preserve">Usually part of SG&amp;A expenses, but sometimes can be part of R&amp;D expenses, i.e. tech/engineering companies </t>
        </r>
      </text>
    </comment>
    <comment ref="B137" authorId="4" shapeId="0" xr:uid="{00000000-0006-0000-0600-000009000000}">
      <text>
        <t xml:space="preserve">[Threaded comment]
Your version of Excel allows you to read this threaded comment; however, any edits to it will get removed if the file is opened in a newer version of Excel. Learn more: https://go.microsoft.com/fwlink/?linkid=870924
Comment:
    Forecasted based on net number of stores opening </t>
      </text>
    </comment>
    <comment ref="B143" authorId="2" shapeId="0" xr:uid="{00000000-0006-0000-0600-00000A000000}">
      <text>
        <r>
          <rPr>
            <sz val="11"/>
            <color theme="1"/>
            <rFont val="Arial"/>
            <family val="2"/>
          </rPr>
          <t>Forecast separately based on what you find to be the best factor</t>
        </r>
      </text>
    </comment>
    <comment ref="B149" authorId="0" shapeId="0" xr:uid="{4835575C-6F79-453D-B6DF-F92937B6CC5E}">
      <text>
        <r>
          <rPr>
            <b/>
            <sz val="9"/>
            <color rgb="FF000000"/>
            <rFont val="Tahoma"/>
            <family val="2"/>
          </rPr>
          <t>Madalena:</t>
        </r>
        <r>
          <rPr>
            <sz val="9"/>
            <color rgb="FF000000"/>
            <rFont val="Tahoma"/>
            <family val="2"/>
          </rPr>
          <t xml:space="preserve">
</t>
        </r>
        <r>
          <rPr>
            <sz val="9"/>
            <color rgb="FF000000"/>
            <rFont val="Tahoma"/>
            <family val="2"/>
          </rPr>
          <t>"We have never declared or paid any cash dividends on our capital stock and do not anticipate paying any cash dividends in the foreseeable future."</t>
        </r>
      </text>
    </comment>
    <comment ref="B155" authorId="5" shapeId="0" xr:uid="{00000000-0006-0000-0600-00000B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58" authorId="6" shapeId="0" xr:uid="{00000000-0006-0000-0600-00000C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60" authorId="7" shapeId="0" xr:uid="{00000000-0006-0000-0600-00000D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67" authorId="8" shapeId="0" xr:uid="{00000000-0006-0000-0600-00000E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Gabriela Major</author>
    <author>Cristina Lin</author>
    <author>Raul Vasconcelos</author>
  </authors>
  <commentList>
    <comment ref="N6" authorId="0" shapeId="0" xr:uid="{1DC101F7-E9D1-014B-A120-26727C51F079}">
      <text>
        <r>
          <rPr>
            <b/>
            <sz val="10"/>
            <color rgb="FF000000"/>
            <rFont val="Tahoma"/>
            <family val="2"/>
          </rPr>
          <t>Gabriela Major:</t>
        </r>
        <r>
          <rPr>
            <sz val="10"/>
            <color rgb="FF000000"/>
            <rFont val="Tahoma"/>
            <family val="2"/>
          </rPr>
          <t xml:space="preserve">
</t>
        </r>
        <r>
          <rPr>
            <sz val="10"/>
            <color rgb="FF000000"/>
            <rFont val="Tahoma"/>
            <family val="2"/>
          </rPr>
          <t>The sudden increase in revenue in 2021 was due to the launch of IonQ's quantum computing services via the cloud. Until then, IonQ had been purely a research and technology development company, without significant commercial revenue.</t>
        </r>
      </text>
    </comment>
    <comment ref="N14" authorId="0" shapeId="0" xr:uid="{9D0D36B3-E951-0541-ADA0-ED0CDF03D571}">
      <text>
        <r>
          <rPr>
            <b/>
            <sz val="10"/>
            <color rgb="FF000000"/>
            <rFont val="Tahoma"/>
            <family val="2"/>
          </rPr>
          <t>Gabriela Major:</t>
        </r>
        <r>
          <rPr>
            <sz val="10"/>
            <color rgb="FF000000"/>
            <rFont val="Tahoma"/>
            <family val="2"/>
          </rPr>
          <t xml:space="preserve">
</t>
        </r>
        <r>
          <rPr>
            <sz val="10"/>
            <color rgb="FF000000"/>
            <rFont val="Tahoma"/>
            <family val="2"/>
          </rPr>
          <t>N/A</t>
        </r>
      </text>
    </comment>
    <comment ref="N17" authorId="0" shapeId="0" xr:uid="{3906DA0A-7EC4-244B-8F35-834E392B450C}">
      <text>
        <r>
          <rPr>
            <b/>
            <sz val="10"/>
            <color rgb="FF000000"/>
            <rFont val="Tahoma"/>
            <family val="2"/>
          </rPr>
          <t>Gabriela Major:</t>
        </r>
        <r>
          <rPr>
            <sz val="10"/>
            <color rgb="FF000000"/>
            <rFont val="Tahoma"/>
            <family val="2"/>
          </rPr>
          <t xml:space="preserve">
</t>
        </r>
        <r>
          <rPr>
            <sz val="10"/>
            <color rgb="FF000000"/>
            <rFont val="Tahoma"/>
            <family val="2"/>
          </rPr>
          <t xml:space="preserve">N/A
</t>
        </r>
      </text>
    </comment>
    <comment ref="N18" authorId="0" shapeId="0" xr:uid="{5FCBA73E-2163-5B46-AE48-BE754B8A7DFD}">
      <text>
        <r>
          <rPr>
            <b/>
            <sz val="10"/>
            <color rgb="FF000000"/>
            <rFont val="Tahoma"/>
            <family val="2"/>
          </rPr>
          <t>Gabriela Major:</t>
        </r>
        <r>
          <rPr>
            <sz val="10"/>
            <color rgb="FF000000"/>
            <rFont val="Tahoma"/>
            <family val="2"/>
          </rPr>
          <t xml:space="preserve">
</t>
        </r>
        <r>
          <rPr>
            <sz val="10"/>
            <color rgb="FF000000"/>
            <rFont val="Tahoma"/>
            <family val="2"/>
          </rPr>
          <t>N/A</t>
        </r>
      </text>
    </comment>
    <comment ref="R44" authorId="1" shapeId="0" xr:uid="{779681BD-D129-45DC-9C27-CC148D362F1A}">
      <text>
        <r>
          <rPr>
            <sz val="11"/>
            <color theme="1"/>
            <rFont val="Arial"/>
            <family val="2"/>
          </rPr>
          <t>CAGR 2022-2024</t>
        </r>
      </text>
    </comment>
    <comment ref="B50" authorId="2" shapeId="0" xr:uid="{00000000-0006-0000-0800-000002000000}">
      <text>
        <r>
          <rPr>
            <b/>
            <sz val="9"/>
            <color rgb="FF000000"/>
            <rFont val="Tahoma"/>
            <family val="2"/>
          </rPr>
          <t>Raul Vasconcelos:</t>
        </r>
        <r>
          <rPr>
            <sz val="9"/>
            <color rgb="FF000000"/>
            <rFont val="Tahoma"/>
            <family val="2"/>
          </rPr>
          <t xml:space="preserve">
</t>
        </r>
        <r>
          <rPr>
            <sz val="9"/>
            <color rgb="FF000000"/>
            <rFont val="Tahoma"/>
            <family val="2"/>
          </rPr>
          <t>Should include all interest-bearing liabilities with exception of Lease Liabilities</t>
        </r>
      </text>
    </comment>
    <comment ref="B55" authorId="2" shapeId="0" xr:uid="{00000000-0006-0000-0800-000003000000}">
      <text>
        <r>
          <rPr>
            <b/>
            <sz val="9"/>
            <color rgb="FF000000"/>
            <rFont val="Tahoma"/>
            <family val="2"/>
          </rPr>
          <t>Raul Vasconcelos:</t>
        </r>
        <r>
          <rPr>
            <sz val="9"/>
            <color rgb="FF000000"/>
            <rFont val="Tahoma"/>
            <family val="2"/>
          </rPr>
          <t xml:space="preserve">
</t>
        </r>
        <r>
          <rPr>
            <sz val="9"/>
            <color rgb="FF000000"/>
            <rFont val="Tahoma"/>
            <family val="2"/>
          </rPr>
          <t>Should include all interest-bearing liabilities with exception of Lease Liabilities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2"/>
        </ext>
      </extLst>
    </bk>
    <bk>
      <extLst>
        <ext uri="{3e2802c4-a4d2-4d8b-9148-e3be6c30e623}">
          <xlrd:rvb i="13"/>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<sst xmlns="http://schemas.openxmlformats.org/spreadsheetml/2006/main" count="1984" uniqueCount="863">
  <si>
    <t xml:space="preserve">             |   EQUITY RESEARCH </t>
  </si>
  <si>
    <t>Lisbon Investment Society Equity Research</t>
  </si>
  <si>
    <t>April 21, 2025</t>
  </si>
  <si>
    <t>Sell</t>
  </si>
  <si>
    <t>IonQ is an American technology company focused on quantum computing. It is known for developing quantum computers based on trapped ions, one of the most promising approaches in the field. Its solutions allow businesses and researchers to explore quantum computing for applications like chemical simulations, optimization, and machine learning.</t>
  </si>
  <si>
    <t>XNYS⁩:(IONQ)</t>
  </si>
  <si>
    <t>Investment Thesis</t>
  </si>
  <si>
    <t>IonQ offers compelling long-term potential driven by breakthroughs in quantum computing, with a particular focus on high-impact sectors such as healthcare—where quantum capabilities could revolutionize drug discovery, diagnostics, and genomics. Its partnerships with tech giants like Amazon and Microsoft offer distribution advantages and validation, but they also reflect the power imbalance in the ecosystem, where IonQ’s growth is partly dependent on these larger players’ platforms and roadmaps.
While consumers wield influence over the broader tech landscape, IonQ remains largely insulated due to its B2B/government focus, although public perception and trust still impact long-term viability and investment flow.
Despite strong growth relative to peers and a solid technology foundation, IonQ operates in a highly volatile market, with substantial risks tied to the availability of public and private funding—particularly in light of changing economic conditions. The company also faces the structural challenge of high operating costs and limited short- to mid-term monetization. Even over a 20-year horizon, stable and steady profitability remains uncertain, making the investment less appealing for those seeking near-term returns or sure long-term ones.</t>
  </si>
  <si>
    <t>j</t>
  </si>
  <si>
    <t>Valuation Multiples</t>
  </si>
  <si>
    <t>Cristina Lin</t>
  </si>
  <si>
    <t>EV / Sales</t>
  </si>
  <si>
    <t>cristina.lin@aln.iseg.ulisboa.pt</t>
  </si>
  <si>
    <t>Price / Sales</t>
  </si>
  <si>
    <t>(+351) 968185578</t>
  </si>
  <si>
    <t>EV / EBITDA</t>
  </si>
  <si>
    <t>Madalena Oliveira da Silva</t>
  </si>
  <si>
    <t>EV / EBIT</t>
  </si>
  <si>
    <t>l.63835@aln.iseg.ulisboa.pt</t>
  </si>
  <si>
    <t>Price / Earnings</t>
  </si>
  <si>
    <t>(+351) 937583978</t>
  </si>
  <si>
    <t>Price / Book</t>
  </si>
  <si>
    <t>Gabriela de Almeida Rito Major</t>
  </si>
  <si>
    <t>l64181@aln.iseg.ulisboa.pt</t>
  </si>
  <si>
    <t>Year</t>
  </si>
  <si>
    <t>Net Sales</t>
  </si>
  <si>
    <t>EBIT Margin</t>
  </si>
  <si>
    <t>FCFF</t>
  </si>
  <si>
    <t>Net Capex</t>
  </si>
  <si>
    <t>Profitability Ratios</t>
  </si>
  <si>
    <t>(+351) 910247429</t>
  </si>
  <si>
    <t>Return on Assets</t>
  </si>
  <si>
    <t>João de Sousa Eiró</t>
  </si>
  <si>
    <t>Return on Equity</t>
  </si>
  <si>
    <t>joaodesousaeiro@aln.iseg.ulisboa.pt</t>
  </si>
  <si>
    <t>Return on Total Capital</t>
  </si>
  <si>
    <t>(+351) 918446662</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</si>
  <si>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</si>
  <si>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</si>
  <si>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</si>
  <si>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</si>
  <si>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</si>
  <si>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</si>
  <si>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</si>
  <si>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</si>
  <si>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</si>
  <si>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</si>
  <si>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</si>
  <si>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</si>
  <si>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</si>
  <si>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</si>
  <si>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</si>
  <si>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r>
      <rPr>
        <b/>
        <sz val="9"/>
        <color theme="1"/>
        <rFont val="Arial"/>
        <family val="2"/>
      </rPr>
      <t>Technological Leadership:</t>
    </r>
    <r>
      <rPr>
        <sz val="9"/>
        <color theme="1"/>
        <rFont val="Arial"/>
        <family val="2"/>
      </rPr>
      <t xml:space="preserve"> IonQ utilizes trapped-ion quantum technology, offering high fidelity and long coherence times, positioning them at the forefront of quantum computing advancements; </t>
    </r>
    <r>
      <rPr>
        <b/>
        <sz val="9"/>
        <color theme="1"/>
        <rFont val="Arial"/>
        <family val="2"/>
      </rPr>
      <t xml:space="preserve">Robust Intellectual Property Portfolio: </t>
    </r>
    <r>
      <rPr>
        <sz val="9"/>
        <color theme="1"/>
        <rFont val="Arial"/>
        <family val="2"/>
      </rPr>
      <t xml:space="preserve">As of February 1, 2024, IonQ holds or exclusively licenses 82 issued U.S. patents and 185 pending or allowed U.S. patent applications, along with international patents and trademarks; </t>
    </r>
    <r>
      <rPr>
        <b/>
        <sz val="9"/>
        <color theme="1"/>
        <rFont val="Arial"/>
        <family val="2"/>
      </rPr>
      <t xml:space="preserve">Strategic Partnerships: </t>
    </r>
    <r>
      <rPr>
        <sz val="9"/>
        <color theme="1"/>
        <rFont val="Arial"/>
        <family val="2"/>
      </rPr>
      <t>Collaborations with major cloud providers like Amazon Web Services and Microsoft Azure enhance accessibility to IonQ's quantum computing services.</t>
    </r>
  </si>
  <si>
    <r>
      <rPr>
        <b/>
        <sz val="9"/>
        <color rgb="FF000000"/>
        <rFont val="Arial"/>
        <family val="2"/>
      </rPr>
      <t xml:space="preserve">Financial Losses: </t>
    </r>
    <r>
      <rPr>
        <sz val="9"/>
        <color rgb="FF000000"/>
        <rFont val="Arial"/>
        <family val="2"/>
      </rPr>
      <t xml:space="preserve">In 2024, IonQ reported a net loss of $331.6 million and an Adjusted EBITDA loss of $107.2 million, indicating ongoing challenges in achieving profitability; </t>
    </r>
    <r>
      <rPr>
        <b/>
        <sz val="9"/>
        <color rgb="FF000000"/>
        <rFont val="Arial"/>
        <family val="2"/>
      </rPr>
      <t>High Operational Costs:</t>
    </r>
    <r>
      <rPr>
        <sz val="9"/>
        <color rgb="FF000000"/>
        <rFont val="Arial"/>
        <family val="2"/>
      </rPr>
      <t xml:space="preserve"> Significant investments in research and development contribute to substantial operational expenses, impacting short-term financial performance.</t>
    </r>
  </si>
  <si>
    <t>Quick Ratio</t>
  </si>
  <si>
    <t>Major Holders</t>
  </si>
  <si>
    <t>Current Ratio</t>
  </si>
  <si>
    <t>Vanguard Group Inc</t>
  </si>
  <si>
    <t>Blackrock Inc.</t>
  </si>
  <si>
    <t>Opportunities</t>
  </si>
  <si>
    <t>Threats</t>
  </si>
  <si>
    <t>Cash Flow Ratios</t>
  </si>
  <si>
    <t>Morgan Stanley</t>
  </si>
  <si>
    <r>
      <rPr>
        <b/>
        <sz val="9"/>
        <color theme="1"/>
        <rFont val="Arial"/>
        <family val="2"/>
      </rPr>
      <t>Growing Quantum Computing Market:</t>
    </r>
    <r>
      <rPr>
        <sz val="9"/>
        <color theme="1"/>
        <rFont val="Arial"/>
        <family val="2"/>
      </rPr>
      <t xml:space="preserve"> The expanding demand for quantum computing solutions across various industries presents opportunities for IonQ to capture market share; </t>
    </r>
    <r>
      <rPr>
        <b/>
        <sz val="9"/>
        <color theme="1"/>
        <rFont val="Arial"/>
        <family val="2"/>
      </rPr>
      <t>Government and Defense Contracts:</t>
    </r>
    <r>
      <rPr>
        <sz val="9"/>
        <color theme="1"/>
        <rFont val="Arial"/>
        <family val="2"/>
      </rPr>
      <t xml:space="preserve"> Engagements with governmental agencies, such as the U.S. Air Force Research Laboratory, open avenues for specialized applications and funding.</t>
    </r>
  </si>
  <si>
    <r>
      <rPr>
        <b/>
        <sz val="9"/>
        <color rgb="FF000000"/>
        <rFont val="Arial"/>
        <family val="2"/>
      </rPr>
      <t xml:space="preserve">Intense Competition: </t>
    </r>
    <r>
      <rPr>
        <sz val="9"/>
        <color rgb="FF000000"/>
        <rFont val="Arial"/>
        <family val="2"/>
      </rPr>
      <t>The quantum computing sector is highly competitive, with major players like IBM and Google investing heavily in similar technologies;</t>
    </r>
    <r>
      <rPr>
        <b/>
        <sz val="9"/>
        <color rgb="FF000000"/>
        <rFont val="Arial"/>
        <family val="2"/>
      </rPr>
      <t xml:space="preserve"> Regulatory and Geopolitical Risks:</t>
    </r>
    <r>
      <rPr>
        <sz val="9"/>
        <color rgb="FF000000"/>
        <rFont val="Arial"/>
        <family val="2"/>
      </rPr>
      <t xml:space="preserve"> Potential changes in regulations and international relations could affect IonQ's operations and collaborations.</t>
    </r>
  </si>
  <si>
    <t>Cash Conversion Cycle</t>
  </si>
  <si>
    <t>State Street Corporation</t>
  </si>
  <si>
    <t>Net Income / Op Cash Flow</t>
  </si>
  <si>
    <t>Geode Capital Management, LLC</t>
  </si>
  <si>
    <t>Chg in Cash / Op Cash Flow</t>
  </si>
  <si>
    <t>UBS Group AG</t>
  </si>
  <si>
    <t>JP Morgan Chase &amp; Co</t>
  </si>
  <si>
    <t>Revenue by Region</t>
  </si>
  <si>
    <t>Revenue by Segment</t>
  </si>
  <si>
    <t>Leverage Ratios</t>
  </si>
  <si>
    <t>Northern Trust Corporation</t>
  </si>
  <si>
    <t>Total Debt / Equity</t>
  </si>
  <si>
    <t>Goldman Sachs Group Inc</t>
  </si>
  <si>
    <t>Total Debt / Capital</t>
  </si>
  <si>
    <t>Charles Schwab Investment Management, Inc.</t>
  </si>
  <si>
    <t>Total Liabilities / Total Assets</t>
  </si>
  <si>
    <t>Total Debt / EBITDA</t>
  </si>
  <si>
    <t>Board of Directors</t>
  </si>
  <si>
    <t>Total Debt / (EBITDA - Capex)</t>
  </si>
  <si>
    <r>
      <rPr>
        <b/>
        <sz val="11"/>
        <color rgb="FF000000"/>
        <rFont val="Arial"/>
        <family val="2"/>
      </rPr>
      <t>Peter Chapman</t>
    </r>
    <r>
      <rPr>
        <sz val="11"/>
        <color rgb="FF000000"/>
        <rFont val="Arial"/>
        <family val="2"/>
      </rPr>
      <t xml:space="preserve"> (Chairman, Executive Chair) [Non-Indep.], Chair of Executive Committee; </t>
    </r>
    <r>
      <rPr>
        <b/>
        <sz val="11"/>
        <color rgb="FF000000"/>
        <rFont val="Arial"/>
        <family val="2"/>
      </rPr>
      <t>Niccolo de Masi</t>
    </r>
    <r>
      <rPr>
        <sz val="11"/>
        <color rgb="FF000000"/>
        <rFont val="Arial"/>
        <family val="2"/>
      </rPr>
      <t xml:space="preserve"> (CEO) [Non-Indep.], Member of Executive Committee; </t>
    </r>
    <r>
      <rPr>
        <b/>
        <sz val="11"/>
        <color rgb="FF000000"/>
        <rFont val="Arial"/>
        <family val="2"/>
      </rPr>
      <t>Harry You</t>
    </r>
    <r>
      <rPr>
        <sz val="11"/>
        <color rgb="FF000000"/>
        <rFont val="Arial"/>
        <family val="2"/>
      </rPr>
      <t xml:space="preserve"> [Indep.], Lead Independent Director, Chair of Audit Committee; </t>
    </r>
    <r>
      <rPr>
        <b/>
        <sz val="11"/>
        <color rgb="FF000000"/>
        <rFont val="Arial"/>
        <family val="2"/>
      </rPr>
      <t>Inder Singh</t>
    </r>
    <r>
      <rPr>
        <sz val="11"/>
        <color rgb="FF000000"/>
        <rFont val="Arial"/>
        <family val="2"/>
      </rPr>
      <t xml:space="preserve"> [Indep.], Member of Audit Committee; </t>
    </r>
    <r>
      <rPr>
        <b/>
        <sz val="11"/>
        <color rgb="FF000000"/>
        <rFont val="Arial"/>
        <family val="2"/>
      </rPr>
      <t xml:space="preserve">Kathy Chou </t>
    </r>
    <r>
      <rPr>
        <sz val="11"/>
        <color rgb="FF000000"/>
        <rFont val="Arial"/>
        <family val="2"/>
      </rPr>
      <t xml:space="preserve">[Indep.], Member of Compensation Committee; </t>
    </r>
    <r>
      <rPr>
        <b/>
        <sz val="11"/>
        <color rgb="FF000000"/>
        <rFont val="Arial"/>
        <family val="2"/>
      </rPr>
      <t>Wendy Thomas</t>
    </r>
    <r>
      <rPr>
        <sz val="11"/>
        <color rgb="FF000000"/>
        <rFont val="Arial"/>
        <family val="2"/>
      </rPr>
      <t xml:space="preserve"> [Indep.], Member of Compensation Committee;</t>
    </r>
    <r>
      <rPr>
        <b/>
        <sz val="11"/>
        <color rgb="FF000000"/>
        <rFont val="Arial"/>
        <family val="2"/>
      </rPr>
      <t xml:space="preserve"> Robert Cardillo</t>
    </r>
    <r>
      <rPr>
        <sz val="11"/>
        <color rgb="FF000000"/>
        <rFont val="Arial"/>
        <family val="2"/>
      </rPr>
      <t xml:space="preserve"> [Indep.], Member of Nominating &amp; Governance Committee; </t>
    </r>
    <r>
      <rPr>
        <b/>
        <sz val="11"/>
        <color rgb="FF000000"/>
        <rFont val="Arial"/>
        <family val="2"/>
      </rPr>
      <t>William Scannell</t>
    </r>
    <r>
      <rPr>
        <sz val="11"/>
        <color rgb="FF000000"/>
        <rFont val="Arial"/>
        <family val="2"/>
      </rPr>
      <t xml:space="preserve"> [Indep.], Member of Compensation Committee; </t>
    </r>
    <r>
      <rPr>
        <b/>
        <sz val="11"/>
        <color rgb="FF000000"/>
        <rFont val="Arial"/>
        <family val="2"/>
      </rPr>
      <t>Gabrielle Toledano</t>
    </r>
    <r>
      <rPr>
        <sz val="11"/>
        <color rgb="FF000000"/>
        <rFont val="Arial"/>
        <family val="2"/>
      </rPr>
      <t xml:space="preserve"> [Indep.], Member of Nominating &amp; Governance Committee</t>
    </r>
  </si>
  <si>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</si>
  <si>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</si>
  <si>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</si>
  <si>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</si>
  <si>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</si>
  <si>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</si>
  <si>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</si>
  <si>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</si>
  <si>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</si>
  <si>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</si>
  <si>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</si>
  <si>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</si>
  <si>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</si>
  <si>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</si>
  <si>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</si>
  <si>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</si>
  <si>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</si>
  <si>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</si>
  <si>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</si>
  <si>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</si>
  <si>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</si>
  <si>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Extra Notes</t>
  </si>
  <si>
    <t>Industry Overview</t>
  </si>
  <si>
    <t>Key Drivers</t>
  </si>
  <si>
    <t>Description</t>
  </si>
  <si>
    <t>Limitations of Classical Computing</t>
  </si>
  <si>
    <t>Classical Computing is struggling with processing power, handling complex tasks with many variables and meeting the high energy requirements for AI systems, resulting in high costs and environmental concerns.</t>
  </si>
  <si>
    <t>Government and Private Sector Investment</t>
  </si>
  <si>
    <t>Governments and private companies are investing heavily in quantum computing, recognizing its potential to revolutionize industries like finance, healthcare, and cybersecurity. Notable examples include the U.S. government's $1.2 billion investment through the National Quantum Initiative Act and Microsoft's $1 billion commitment to R&amp;D in Quantum Computing.</t>
  </si>
  <si>
    <t>Healthcare Personalizing</t>
  </si>
  <si>
    <t>A quantum computer can perform extremely fast DNA sequencing, which opens the possibility for personalized medicine. It can enable the development of new therapies and medicines through detailed modeling.</t>
  </si>
  <si>
    <t>Rapid Progression in Quantum Hardware</t>
  </si>
  <si>
    <t>Advancements in quantum hardware, such as improved qubit stability and error correction techniques, are enhancing the power and reliability of quantum computers. These developments are crucial for scaling quantum computing to address complex, industry specific challenges.</t>
  </si>
  <si>
    <t>Industry Trends</t>
  </si>
  <si>
    <t>Increasing Market Accessibility</t>
  </si>
  <si>
    <t>Cloud providers, such as Microsoft Azure and Google Cloud,  are reshaping how businesses interact with quantum computing by lowering the barriers to access it and eliminating the need for expensive infrastructure. Greater accessibility allows for greater customer reach and, in turn, accelerated industry growth.</t>
  </si>
  <si>
    <t>Innovation Driven by Partnerships</t>
  </si>
  <si>
    <t>Companies, be it tech giants or startups, are increasingly forming strategic partnerships to tackle technical challenges and accelerate quantum technology. This shift from competitive rivalry to cooperation is aimed at solving shared problems and meet evolving market demands.</t>
  </si>
  <si>
    <t>Quantum Solutions as a Complement</t>
  </si>
  <si>
    <t>Faced with the limitations of classical computing systems and the early-stage challenges of quantum, businesses are integrating both technologies into a hybrid system, unlocking new ways to solve complex issues that neither could solve alone.</t>
  </si>
  <si>
    <t>Market Share</t>
  </si>
  <si>
    <t>Headquarters</t>
  </si>
  <si>
    <t>Revenues</t>
  </si>
  <si>
    <t>(in MM of USD)</t>
  </si>
  <si>
    <t>College Park, Maryland</t>
  </si>
  <si>
    <t>Berkeley, California</t>
  </si>
  <si>
    <t>Burnaby, Canada</t>
  </si>
  <si>
    <t>Leesburg, Virginia</t>
  </si>
  <si>
    <t>Others</t>
  </si>
  <si>
    <t>--</t>
  </si>
  <si>
    <t>Industry Size</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</si>
  <si>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</si>
  <si>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</si>
  <si>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</si>
  <si>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</si>
  <si>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</si>
  <si>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</si>
  <si>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</si>
  <si>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</si>
  <si>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</si>
  <si>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</si>
  <si>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</si>
  <si>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</si>
  <si>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</si>
  <si>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</si>
  <si>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</si>
  <si>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</si>
  <si>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</si>
  <si>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</si>
  <si>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</si>
  <si>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</si>
  <si>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</si>
  <si>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</si>
  <si>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</si>
  <si>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</si>
  <si>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</si>
  <si>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</si>
  <si>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</si>
  <si>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</si>
  <si>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</si>
  <si>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</si>
  <si>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</si>
  <si>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</si>
  <si>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Segments</t>
  </si>
  <si>
    <t>Regions</t>
  </si>
  <si>
    <t>Weight</t>
  </si>
  <si>
    <t>United States</t>
  </si>
  <si>
    <t>International</t>
  </si>
  <si>
    <t>Total</t>
  </si>
  <si>
    <t>Specialized quantum computing hardware</t>
  </si>
  <si>
    <t>Platform, consulting and support services</t>
  </si>
  <si>
    <t>Categories</t>
  </si>
  <si>
    <t>Graphs</t>
  </si>
  <si>
    <t>This segment focuses on building advanced quantum processors using trapped-ion technology. These processors deliver highly accurate and stable qubits, making them ideal for tackling complex problems. IonQ’s hardware powers its cloud services, allowing customers to access cutting-edge quantum computing for various applications.</t>
  </si>
  <si>
    <t>These services provide businesses and researchers with the tools, expertise, and support needed to effectively adopt and utilize quantum computing. They include cloud access, technical assistance, and specialized consulting.</t>
  </si>
  <si>
    <t>Company's Strategy / Extra Notes</t>
  </si>
  <si>
    <t>Tech Innovation</t>
  </si>
  <si>
    <t>This year marks the launch of the AQ 64 Tempo system, which is a substantial upgrade over the AQ36 Forte Enterprise. This system doubles the qubit count, improves qubit fidelity to over 99.9% and expands computational capacity by 536 million times, setting new standards in performance.</t>
  </si>
  <si>
    <t>Strategic Acquisitions</t>
  </si>
  <si>
    <t>In 2025, the company acquired Qubitekk and ID Quantique, gaining access to a more specialized team and increasing its patent portfolio to over 900 patents. These acquisitions also position the company for expansion into European and Asian markets, accelerating global growth.</t>
  </si>
  <si>
    <t>Major Partnerships</t>
  </si>
  <si>
    <t>Partnerships with major companies and entities such as AstraZeneca, Hyundai, U.S. Department of Defense and Airbus will help the company in the long-term, accelerating its growth and increasing its global credibility.</t>
  </si>
  <si>
    <t>Revenue Scaling</t>
  </si>
  <si>
    <t>Revenue has doubled in both 2023 and 2024, reflecting strong market demand and growth. Management expects this trend to continue with projections of $75-95 million in revenue for 2025.</t>
  </si>
  <si>
    <t>First Public Quantum Company</t>
  </si>
  <si>
    <t>In 2021, the company made history by becoming the first pure-play quantum computing company to go public. This was achieved through a merger with dMY Technology Group III, a special-purpose acquisition company (SPAC).</t>
  </si>
  <si>
    <t>Revenue Growth</t>
  </si>
  <si>
    <t>Profit Margin</t>
  </si>
  <si>
    <t>EV / Revenue</t>
  </si>
  <si>
    <t>Peers</t>
  </si>
  <si>
    <t>Ticker</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</si>
  <si>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</si>
  <si>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</si>
  <si>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</si>
  <si>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</si>
  <si>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</si>
  <si>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</si>
  <si>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</si>
  <si>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</si>
  <si>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</si>
  <si>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</si>
  <si>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</si>
  <si>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</si>
  <si>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</si>
  <si>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</si>
  <si>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</si>
  <si>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</si>
  <si>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</si>
  <si>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</si>
  <si>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</si>
  <si>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</si>
  <si>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 xml:space="preserve">  </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</si>
  <si>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</si>
  <si>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</si>
  <si>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</si>
  <si>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</si>
  <si>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</si>
  <si>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</si>
  <si>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</si>
  <si>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</si>
  <si>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</si>
  <si>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</si>
  <si>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</si>
  <si>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</si>
  <si>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</si>
  <si>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</si>
  <si>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</si>
  <si>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</si>
  <si>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</si>
  <si>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</si>
  <si>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</si>
  <si>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</si>
  <si>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</si>
  <si>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</si>
  <si>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</si>
  <si>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</si>
  <si>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</si>
  <si>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</si>
  <si>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</si>
  <si>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</si>
  <si>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</si>
  <si>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</si>
  <si>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</si>
  <si>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</si>
  <si>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</si>
  <si>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</si>
  <si>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</si>
  <si>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</si>
  <si>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</si>
  <si>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</si>
  <si>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N/A</t>
  </si>
  <si>
    <t>EBITDA (2023)</t>
  </si>
  <si>
    <t>Net Income (2023)</t>
  </si>
  <si>
    <t>COGS (Cost of Goods Sold)</t>
  </si>
  <si>
    <t>Gross Profit</t>
  </si>
  <si>
    <t>Operating Income (EBIT)</t>
  </si>
  <si>
    <t>Net Interest Expense (Income)</t>
  </si>
  <si>
    <t>Pre-Tax Income (EBT)</t>
  </si>
  <si>
    <t>Tax Expense (Benefits)</t>
  </si>
  <si>
    <t>Net Income</t>
  </si>
  <si>
    <t>EPS basic</t>
  </si>
  <si>
    <t>R&amp;D (Research &amp; Development)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</si>
  <si>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</si>
  <si>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</si>
  <si>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</si>
  <si>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</si>
  <si>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</si>
  <si>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</si>
  <si>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</si>
  <si>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</si>
  <si>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</si>
  <si>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</si>
  <si>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</si>
  <si>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</si>
  <si>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</si>
  <si>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</si>
  <si>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</si>
  <si>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</si>
  <si>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</si>
  <si>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</si>
  <si>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</si>
  <si>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</si>
  <si>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 xml:space="preserve">It is important to note that while all the companies analyzed operate within the quantum computing industry, each has different areas of expertise: Rigetti is more hardware-focused with superconducting qubits, D-Wave specializes in quantum annealing systems, and Quantum Computing Inc. is centered around software and optimization solutions. </t>
  </si>
  <si>
    <t>This variation in focus limits the comparability across certain financial or operational metrics. Due to the highly volatile nature of these companies and their still-maturing business models, graphical representations of performance may be misleading or overly erratic. Instead, a qualitative and multiple-based approach provides a clearer view of strategic positioning and market potential.</t>
  </si>
  <si>
    <t>Environmental, Social and Governance Analysis</t>
  </si>
  <si>
    <t>Author:</t>
  </si>
  <si>
    <t>Highlights</t>
  </si>
  <si>
    <t>Overview</t>
  </si>
  <si>
    <t>Educational Initiatives</t>
  </si>
  <si>
    <t>IonQ actively supports quantum education and workforce development. It collaborates with institutions like Sungkyunkwan University to provide quantum cloud resources for competitions and training programs</t>
  </si>
  <si>
    <t>Last Update</t>
  </si>
  <si>
    <t>Latest year with data</t>
  </si>
  <si>
    <t>Weak environmental contribution</t>
  </si>
  <si>
    <t>It was not possible to assess the company's environmental commitment.</t>
  </si>
  <si>
    <t>GICS Sector</t>
  </si>
  <si>
    <t>GICS Industry Group</t>
  </si>
  <si>
    <t>Final Review</t>
  </si>
  <si>
    <t>High rotativity of directors</t>
  </si>
  <si>
    <t>IonQ divides its directors into three classes with overlapping three-year terms. This approach ensures that only a portion of the board is up for election each year, but at the same time, there is a high rotativity of the members of the board.</t>
  </si>
  <si>
    <t>ESG Scores</t>
  </si>
  <si>
    <t>D</t>
  </si>
  <si>
    <t>Industry ESG Overview:</t>
  </si>
  <si>
    <t>Adequate</t>
  </si>
  <si>
    <t>Companies in the quantum computing industry often do not disclose ESG parameters due to their early-stage focus, lack of standard frameworks, and smaller market share at the moment. As the industry grows and attracts more institutional attention, ESG practices and transparency are expected to become more common and integrated into business strategies.</t>
  </si>
  <si>
    <t>ENVIRONMENTAL</t>
  </si>
  <si>
    <t>Comments</t>
  </si>
  <si>
    <t>The compay and its peers do not disclose any information regarding this matter as they are in early-growth stage (currently having a minimal footprint)</t>
  </si>
  <si>
    <t>SOCIAL</t>
  </si>
  <si>
    <t>Important Sources:</t>
  </si>
  <si>
    <t>Targets</t>
  </si>
  <si>
    <t>Improvements</t>
  </si>
  <si>
    <t>Annual Report</t>
  </si>
  <si>
    <t>https://www.sec.gov/ix?doc=/Archives/edgar/data/1824920/000095017025027722/ionq-20241231.htm</t>
  </si>
  <si>
    <t>Community Involvement</t>
  </si>
  <si>
    <t>IonQ actively supports quantum education and workforce development. It collaborates with Sungkyunkwan University in educational programs and with Hyundai Motors for years applying quantum computing to projects.</t>
  </si>
  <si>
    <t>Sustainability Report</t>
  </si>
  <si>
    <t>Proxy Statement</t>
  </si>
  <si>
    <t>https://www.sec.gov/Archives/edgar/data/1824920/000119312524114115/d104516ddef14a.htm#toc</t>
  </si>
  <si>
    <t>Public Sector</t>
  </si>
  <si>
    <t>IonQ Announces Largest U.S. Quantum Contract Award of $54.5M with United States Air Force Research Lab in 2024.</t>
  </si>
  <si>
    <t>Litigation</t>
  </si>
  <si>
    <t>The company was invovled in a consolidated securities fraud class action. The plaintiffs alleged that IonQ and the special purpose acquisition company (SPAC) into which it merged, dMY Technology Group, misled investors about IonQ’s quantum computing technology, thereby inflating IonQ’s share price. On 8th April 2025, Cooley secured an appellate win on behalf of IonQ.</t>
  </si>
  <si>
    <t>GOVERNANCE</t>
  </si>
  <si>
    <t>Diversity (Gender, Age, Industry, Region)</t>
  </si>
  <si>
    <t>37.5% of board members are female (Gabrielle Toledano was appointed for the board in February 2025, so theproxy as of June 2024 only had 25% of female directors).</t>
  </si>
  <si>
    <t>% Independence</t>
  </si>
  <si>
    <t>80% of the board members are independent (only CEO&amp;President and Scientific Advisor Jungsang Kim were not).</t>
  </si>
  <si>
    <t>Average time as independent directors</t>
  </si>
  <si>
    <t>Departures of C-level executives</t>
  </si>
  <si>
    <t>Harry You departed in February 2025 to lead a private AI-healthcare company. Craig Barratt chose not to stand for re-election at the June 2024 Annual Meeting, concluding his term as Chairman. Jungsang Kim also did not seek re-election in June 2024, ending his tenure as a director and co-founder.</t>
  </si>
  <si>
    <t>CEO/Chairman duality</t>
  </si>
  <si>
    <t>Peter Chapman is the Chairman (as of June 2024) while Niccolo de Masi is the CEO (Niccolo was the CEO of the predecessor, dMY Technology Group, Inc. III, a special purpose acquisition company). In the report for 2024, Peter was the CEO and Crag Barratt was the Chairman.</t>
  </si>
  <si>
    <t>Transparency when reporting</t>
  </si>
  <si>
    <t>Although some information was not available, the information on the annual report and the SEC fillings was transparent.</t>
  </si>
  <si>
    <t>Time taken to report</t>
  </si>
  <si>
    <t>The annual report (SEC fillings) of 2024 was released on 26th February 2025.</t>
  </si>
  <si>
    <t>CEO or Chairman in other boards?</t>
  </si>
  <si>
    <t>Niccolo de Masi currently serves in the boards of Rush Street Interactive (since December 2020), Planet Labs PBC ( since December 2021) and in Glu Mobile as Chairman of the Board. (Niccolo started serving as CEO of IonQ in 2025)</t>
  </si>
  <si>
    <t>Audit / Consulting</t>
  </si>
  <si>
    <t>All the audit fees and their purpose were transparent. ​Ernst &amp; Young LLP (EY) has been serving as IonQ's independent registered public accounting firm since 2020. They were the auditors for legacy IonQ prior to its merger with dMY Technology Group, Inc. III in September 2021. Following the merger, EY continued in this role for the combined public entity.</t>
  </si>
  <si>
    <t>ESG-compensation related</t>
  </si>
  <si>
    <t>Management compensation schemes</t>
  </si>
  <si>
    <t>A significant portion of compensation paid consists of performance-based annual bonuses that were only earned based on achievement of corporate goals and is a mix of performance-based and time-based equity awards (performance-based restricted stock units).</t>
  </si>
  <si>
    <t>DCF</t>
  </si>
  <si>
    <t>x</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</si>
  <si>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</si>
  <si>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</si>
  <si>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</si>
  <si>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</si>
  <si>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</si>
  <si>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</si>
  <si>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</si>
  <si>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</si>
  <si>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</si>
  <si>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</si>
  <si>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</si>
  <si>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</si>
  <si>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</si>
  <si>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</si>
  <si>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WACC</t>
  </si>
  <si>
    <t>Most Recent Quarter End Date</t>
  </si>
  <si>
    <t>TGR</t>
  </si>
  <si>
    <t>Valuation Date</t>
  </si>
  <si>
    <t>Market and Growth Assumptions</t>
  </si>
  <si>
    <t>Market Size (Fortune Business Insights)</t>
  </si>
  <si>
    <t xml:space="preserve">   Growth Rate </t>
  </si>
  <si>
    <t>-</t>
  </si>
  <si>
    <t>Market Size (Statista)</t>
  </si>
  <si>
    <t>Growth Rate</t>
  </si>
  <si>
    <t>Average (%)</t>
  </si>
  <si>
    <t xml:space="preserve">Market Share </t>
  </si>
  <si>
    <t>In thousands of USD</t>
  </si>
  <si>
    <t>Revenue (Sales)</t>
  </si>
  <si>
    <t>% of growth</t>
  </si>
  <si>
    <t>% of revenue</t>
  </si>
  <si>
    <t>SG&amp;A (Selling, General &amp; Administrative)</t>
  </si>
  <si>
    <t>growth %</t>
  </si>
  <si>
    <t>rev growth / sg&amp;a growth</t>
  </si>
  <si>
    <t>Other Operating (Income) Expenses</t>
  </si>
  <si>
    <t>D&amp;A (Depreciation &amp; Amortization)</t>
  </si>
  <si>
    <t>% of PP&amp;E+ROU Assets+Intangibles excl. Goodwill</t>
  </si>
  <si>
    <t>Depreciation Expense</t>
  </si>
  <si>
    <t>% of PP&amp;E+ROU Assets</t>
  </si>
  <si>
    <t>Amortization Expense</t>
  </si>
  <si>
    <t>% of Intangibles excl. Goodwill</t>
  </si>
  <si>
    <t>% of Net Debt</t>
  </si>
  <si>
    <t>Interest Expense</t>
  </si>
  <si>
    <t>% of Debt</t>
  </si>
  <si>
    <t>Interest Income</t>
  </si>
  <si>
    <t>% Cash &amp; Cash Eq. &amp; ST Investments</t>
  </si>
  <si>
    <t>FX (Gain) Loss</t>
  </si>
  <si>
    <t>Other Non-Operating (Income) Expenses</t>
  </si>
  <si>
    <t>% of EBT</t>
  </si>
  <si>
    <t>Assets</t>
  </si>
  <si>
    <t>Cash &amp; Cash Equivalents &amp; ST Investments</t>
  </si>
  <si>
    <t>DSO</t>
  </si>
  <si>
    <t>Inventory</t>
  </si>
  <si>
    <t>DIH</t>
  </si>
  <si>
    <t>Prepaid expenses and Other Current Assets</t>
  </si>
  <si>
    <t>growing with revenue</t>
  </si>
  <si>
    <t>Net PP&amp;E (Property, Plant and Equipment) + ROU Assets</t>
  </si>
  <si>
    <t>Gross PP&amp;E (Property, Plant and Equipment) + ROU Assets</t>
  </si>
  <si>
    <t>Right-of-Use Assets</t>
  </si>
  <si>
    <t>Accumulated Depreciation</t>
  </si>
  <si>
    <t>Intangibles excl. Goodwill</t>
  </si>
  <si>
    <t>growing with % of R&amp;D</t>
  </si>
  <si>
    <t>Liabilities</t>
  </si>
  <si>
    <t>DPO</t>
  </si>
  <si>
    <t>Accrued Expenses and Other Current Liabilities</t>
  </si>
  <si>
    <t>Total Borrowings</t>
  </si>
  <si>
    <t>Total Leases</t>
  </si>
  <si>
    <t>% of revenues</t>
  </si>
  <si>
    <t>Stock Based Compensation</t>
  </si>
  <si>
    <t>Growth</t>
  </si>
  <si>
    <t>Changes in Net Working Capital</t>
  </si>
  <si>
    <t>Other Operating Adjustments</t>
  </si>
  <si>
    <t>Net CapEx</t>
  </si>
  <si>
    <t>Acquisition of Fixed &amp; Intangibles</t>
  </si>
  <si>
    <t>Disposal of Fixed &amp; Intangibles</t>
  </si>
  <si>
    <t>Disposal Rate (% Gross PP&amp;E)</t>
  </si>
  <si>
    <t>Net Cash from Investments &amp; Acquisitions</t>
  </si>
  <si>
    <t>Other Investing Inflows (Outflows)</t>
  </si>
  <si>
    <t>Dividends</t>
  </si>
  <si>
    <t>Dividend payout</t>
  </si>
  <si>
    <t>Increase (Repurchase) of Shares</t>
  </si>
  <si>
    <t>Repurchase payout</t>
  </si>
  <si>
    <t>Lease Payments</t>
  </si>
  <si>
    <t>% of Right-of-Use Assets</t>
  </si>
  <si>
    <t>% of FCFE</t>
  </si>
  <si>
    <t>Other Financing Inflows (Outflows)</t>
  </si>
  <si>
    <t>FCFF Valuation</t>
  </si>
  <si>
    <t>Depreciation &amp; Amortization</t>
  </si>
  <si>
    <t>Changes in NWC</t>
  </si>
  <si>
    <t>FCFF 2025</t>
  </si>
  <si>
    <t>Present Value of FCFF</t>
  </si>
  <si>
    <t>FCFF 2026</t>
  </si>
  <si>
    <t>Sensitivity to the Period</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</si>
  <si>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</si>
  <si>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</si>
  <si>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</si>
  <si>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</si>
  <si>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</si>
  <si>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</si>
  <si>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</si>
  <si>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</si>
  <si>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</si>
  <si>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</si>
  <si>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</si>
  <si>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</si>
  <si>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APV Valuation</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</si>
  <si>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</si>
  <si>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</si>
  <si>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</si>
  <si>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</si>
  <si>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</si>
  <si>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</si>
  <si>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</si>
  <si>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</si>
  <si>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</si>
  <si>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</si>
  <si>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</si>
  <si>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</si>
  <si>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</si>
  <si>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</si>
  <si>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Sensitivity Analysis</t>
  </si>
  <si>
    <t>Stock Price (in USD)</t>
  </si>
  <si>
    <t>Notes</t>
  </si>
  <si>
    <t>Inputs</t>
  </si>
  <si>
    <t>in thousands of USD</t>
  </si>
  <si>
    <t>Amortization</t>
  </si>
  <si>
    <t>2025*</t>
  </si>
  <si>
    <t>2026*</t>
  </si>
  <si>
    <t>2027*</t>
  </si>
  <si>
    <t>2028*</t>
  </si>
  <si>
    <t>2029*</t>
  </si>
  <si>
    <t>Thereafter</t>
  </si>
  <si>
    <t>*Projected by the company</t>
  </si>
  <si>
    <t>Intangables without Goodwill as % of R&amp;D</t>
  </si>
  <si>
    <t>AVERAGE</t>
  </si>
  <si>
    <t>EPS diluted</t>
  </si>
  <si>
    <t>Basic Weighted Average Shares</t>
  </si>
  <si>
    <t>Diluted Weighted Average Shares</t>
  </si>
  <si>
    <t>Short-Term Investments</t>
  </si>
  <si>
    <t>Gross PP&amp;E (Property, Plant and Equipment)</t>
  </si>
  <si>
    <t>Intangibles</t>
  </si>
  <si>
    <t>Goodwill</t>
  </si>
  <si>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</si>
  <si>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</si>
  <si>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</si>
  <si>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</si>
  <si>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</si>
  <si>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</si>
  <si>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</si>
  <si>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</si>
  <si>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</si>
  <si>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</si>
  <si>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</si>
  <si>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</si>
  <si>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</si>
  <si>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</si>
  <si>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Inventories</t>
  </si>
  <si>
    <t>Increase (Decrease) in Other</t>
  </si>
  <si>
    <t>Acquisitions</t>
  </si>
  <si>
    <t>Divestitures</t>
  </si>
  <si>
    <t>Increase in LT Investment</t>
  </si>
  <si>
    <t>Decrease in LT Investment</t>
  </si>
  <si>
    <t>Effect of Foreign Exchange</t>
  </si>
  <si>
    <t>in billionsof USD</t>
  </si>
  <si>
    <t>Capital Structure</t>
  </si>
  <si>
    <t>Market Capitalization</t>
  </si>
  <si>
    <t>Preferred Stock</t>
  </si>
  <si>
    <t>Cash</t>
  </si>
  <si>
    <t>Fixed</t>
  </si>
  <si>
    <t>Floating</t>
  </si>
  <si>
    <t>Additional</t>
  </si>
  <si>
    <t>Net Debt</t>
  </si>
  <si>
    <t>Effective Tax Rate</t>
  </si>
  <si>
    <t>WACC = % of Equity x Cost of Equity + % de Debt x Cost of Debt x (1 - Tax Rate)</t>
  </si>
  <si>
    <t>Cost of Equity = Risk-Free Rate + Beta x Equity Risk Premium</t>
  </si>
  <si>
    <t>Region</t>
  </si>
  <si>
    <t>ERP</t>
  </si>
  <si>
    <t>Beta (Unlevered)</t>
  </si>
  <si>
    <t> </t>
  </si>
  <si>
    <r>
      <rPr>
        <sz val="11"/>
        <color rgb="FF000000"/>
        <rFont val="Arial"/>
        <family val="2"/>
      </rPr>
      <t>Market Cap</t>
    </r>
    <r>
      <rPr>
        <sz val="9"/>
        <color rgb="FF000000"/>
        <rFont val="Arial"/>
        <family val="2"/>
      </rPr>
      <t xml:space="preserve"> </t>
    </r>
    <r>
      <rPr>
        <i/>
        <sz val="9"/>
        <color rgb="FF000000"/>
        <rFont val="Arial"/>
        <family val="2"/>
      </rPr>
      <t>(in millions)</t>
    </r>
  </si>
  <si>
    <t>U.S.</t>
  </si>
  <si>
    <t>% of Equity</t>
  </si>
  <si>
    <t>Internacional</t>
  </si>
  <si>
    <t>Cost of Equity</t>
  </si>
  <si>
    <t>Risk-Free Rate</t>
  </si>
  <si>
    <t>Unlevered Beta</t>
  </si>
  <si>
    <t>Equity Risk Premium</t>
  </si>
  <si>
    <t>Unlevered Cost of Equity</t>
  </si>
  <si>
    <r>
      <rPr>
        <sz val="11"/>
        <color rgb="FF000000"/>
        <rFont val="Arial"/>
        <family val="2"/>
      </rPr>
      <t>Debt</t>
    </r>
    <r>
      <rPr>
        <i/>
        <sz val="9"/>
        <color rgb="FF000000"/>
        <rFont val="Arial"/>
        <family val="2"/>
      </rPr>
      <t xml:space="preserve"> (in millions)</t>
    </r>
  </si>
  <si>
    <t>Cost of debt</t>
  </si>
  <si>
    <t>Tax Rate</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</si>
  <si>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</si>
  <si>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</si>
  <si>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</si>
  <si>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</si>
  <si>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</si>
  <si>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</si>
  <si>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</si>
  <si>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</si>
  <si>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</si>
  <si>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</si>
  <si>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</si>
  <si>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Variables</t>
  </si>
  <si>
    <t>St Dev</t>
  </si>
  <si>
    <t>Simulations: 10,000</t>
  </si>
  <si>
    <t>Upside</t>
  </si>
  <si>
    <t>min</t>
  </si>
  <si>
    <t>mean</t>
  </si>
  <si>
    <t>median</t>
  </si>
  <si>
    <t>max</t>
  </si>
  <si>
    <t>st dev</t>
  </si>
  <si>
    <t>skewness</t>
  </si>
  <si>
    <t>kurtosis</t>
  </si>
  <si>
    <t>Iterations</t>
  </si>
  <si>
    <t>IonQ Inc (IONQ US) - BBG Adjusted</t>
  </si>
  <si>
    <t>In Thousands of USD except Per Share</t>
  </si>
  <si>
    <t>FY 2020</t>
  </si>
  <si>
    <t>FY 2021</t>
  </si>
  <si>
    <t>FY 2022</t>
  </si>
  <si>
    <t>FY 2023</t>
  </si>
  <si>
    <t>FY 2024</t>
  </si>
  <si>
    <t>Last 12M</t>
  </si>
  <si>
    <t>FY 2025 Est</t>
  </si>
  <si>
    <t>FY 2026 Est</t>
  </si>
  <si>
    <t>12 Months Ending</t>
  </si>
  <si>
    <t xml:space="preserve">    + Sales &amp; Services Revenue</t>
  </si>
  <si>
    <t xml:space="preserve">  - Cost of Revenue</t>
  </si>
  <si>
    <t xml:space="preserve">    + Cost of Goods &amp; Services</t>
  </si>
  <si>
    <t xml:space="preserve">  + Other Operating Income</t>
  </si>
  <si>
    <t xml:space="preserve">  - Operating Expenses</t>
  </si>
  <si>
    <t xml:space="preserve">    + Selling, General &amp; Admin</t>
  </si>
  <si>
    <t xml:space="preserve">    + Selling &amp; Marketing</t>
  </si>
  <si>
    <t xml:space="preserve">    + General &amp; Administrative</t>
  </si>
  <si>
    <t xml:space="preserve">    + Research &amp; Development</t>
  </si>
  <si>
    <t xml:space="preserve">    + Depreciation &amp; Amortization</t>
  </si>
  <si>
    <t xml:space="preserve">    + Other Operating Expense</t>
  </si>
  <si>
    <t>Operating Income (Loss)</t>
  </si>
  <si>
    <t xml:space="preserve">  - Non-Operating (Income) Loss</t>
  </si>
  <si>
    <t xml:space="preserve">    + Interest Expense, Net</t>
  </si>
  <si>
    <t>—</t>
  </si>
  <si>
    <t xml:space="preserve">    + Interest Expense</t>
  </si>
  <si>
    <t xml:space="preserve">    - Interest Income</t>
  </si>
  <si>
    <t xml:space="preserve">    + Foreign Exch (Gain) Loss</t>
  </si>
  <si>
    <t xml:space="preserve">    + Other Non-Op (Income) Loss</t>
  </si>
  <si>
    <t>Pretax Income (Loss), Adjusted</t>
  </si>
  <si>
    <t xml:space="preserve">  - Abnormal Losses (Gains)</t>
  </si>
  <si>
    <t>Pretax Income (Loss), GAAP</t>
  </si>
  <si>
    <t xml:space="preserve">  - Income Tax Expense (Benefit)</t>
  </si>
  <si>
    <t xml:space="preserve">    + Current Income Tax</t>
  </si>
  <si>
    <t xml:space="preserve">    + Deferred Income Tax</t>
  </si>
  <si>
    <t>Income (Loss) from Cont Ops</t>
  </si>
  <si>
    <t xml:space="preserve">  - Net Extraordinary Losses (Gains)</t>
  </si>
  <si>
    <t xml:space="preserve">    + Discontinued Operations</t>
  </si>
  <si>
    <t xml:space="preserve">    + XO &amp; Accounting Changes</t>
  </si>
  <si>
    <t>Income (Loss) Incl. MI</t>
  </si>
  <si>
    <t xml:space="preserve">  - Minority Interest</t>
  </si>
  <si>
    <t>Net Income, GAAP</t>
  </si>
  <si>
    <t xml:space="preserve">  - Preferred Dividends</t>
  </si>
  <si>
    <t xml:space="preserve">  - Other Adjustments</t>
  </si>
  <si>
    <t>Net Income Avail to Common, GAAP</t>
  </si>
  <si>
    <t>Net Income Avail to Common, Adj</t>
  </si>
  <si>
    <t xml:space="preserve">  Net Abnormal Losses (Gains)</t>
  </si>
  <si>
    <t xml:space="preserve">  Net Extraordinary Losses (Gains)</t>
  </si>
  <si>
    <t>Basic Weighted Avg Shares</t>
  </si>
  <si>
    <t>Basic EPS, GAAP</t>
  </si>
  <si>
    <t>Basic EPS from Cont Ops, GAAP</t>
  </si>
  <si>
    <t>Basic EPS from Cont Ops, Adjusted</t>
  </si>
  <si>
    <t>Diluted Weighted Avg Shares</t>
  </si>
  <si>
    <t>Diluted EPS, GAAP</t>
  </si>
  <si>
    <t>Diluted EPS from Cont Ops, GAAP</t>
  </si>
  <si>
    <t>Diluted EPS from Cont Ops, Adjusted</t>
  </si>
  <si>
    <t>Reference Items</t>
  </si>
  <si>
    <t>Accounting Standard</t>
  </si>
  <si>
    <t>US GAAP</t>
  </si>
  <si>
    <t>EBITDA Margin (T12M)</t>
  </si>
  <si>
    <t>EBITA</t>
  </si>
  <si>
    <t>Gross Margin</t>
  </si>
  <si>
    <t>Sales per Employee</t>
  </si>
  <si>
    <t>Dividends per Share</t>
  </si>
  <si>
    <t>Total Cash Common Dividends</t>
  </si>
  <si>
    <t>Rental Expense</t>
  </si>
  <si>
    <t>Source: Bloomberg</t>
  </si>
  <si>
    <t>Right click to show data transparency (not supported for all values)</t>
  </si>
  <si>
    <t>IonQ Inc (IONQ US) - Standardized</t>
  </si>
  <si>
    <t>BR</t>
  </si>
  <si>
    <t xml:space="preserve">  + Cash, Cash Equivalents &amp; STI</t>
  </si>
  <si>
    <t xml:space="preserve">    + Cash &amp; Cash Equivalents</t>
  </si>
  <si>
    <t xml:space="preserve">    + ST Investments</t>
  </si>
  <si>
    <t xml:space="preserve">  + Accounts &amp; Notes Receiv</t>
  </si>
  <si>
    <t xml:space="preserve">    + Accounts Receivable, Net</t>
  </si>
  <si>
    <t xml:space="preserve">    + Notes Receivable, Net</t>
  </si>
  <si>
    <t xml:space="preserve">  + Unbilled Revenues</t>
  </si>
  <si>
    <t xml:space="preserve">  + Inventories</t>
  </si>
  <si>
    <t xml:space="preserve">    + Raw Materials</t>
  </si>
  <si>
    <t xml:space="preserve">    + Work In Process</t>
  </si>
  <si>
    <t xml:space="preserve">    + Finished Goods</t>
  </si>
  <si>
    <t xml:space="preserve">    + Other Inventory</t>
  </si>
  <si>
    <t xml:space="preserve">  + Other ST Assets</t>
  </si>
  <si>
    <t xml:space="preserve">    + Prepaid Expenses</t>
  </si>
  <si>
    <t xml:space="preserve">    + Derivative &amp; Hedging Assets</t>
  </si>
  <si>
    <t xml:space="preserve">    + Misc ST Assets</t>
  </si>
  <si>
    <t>Total Current Assets</t>
  </si>
  <si>
    <t xml:space="preserve">  + Property, Plant &amp; Equip, Net</t>
  </si>
  <si>
    <t xml:space="preserve">    + Property, Plant &amp; Equip</t>
  </si>
  <si>
    <t xml:space="preserve">    - Accumulated Depreciation</t>
  </si>
  <si>
    <t xml:space="preserve">  + LT Investments &amp; Receivables</t>
  </si>
  <si>
    <t xml:space="preserve">    + LT Investments</t>
  </si>
  <si>
    <t xml:space="preserve">  + Other LT Assets</t>
  </si>
  <si>
    <t xml:space="preserve">    + Total Intangible Assets</t>
  </si>
  <si>
    <t xml:space="preserve">    + Goodwill</t>
  </si>
  <si>
    <t xml:space="preserve">    + Other Intangible Assets</t>
  </si>
  <si>
    <t xml:space="preserve">    + Misc LT Assets</t>
  </si>
  <si>
    <t>Total Noncurrent Assets</t>
  </si>
  <si>
    <t>Liabilities &amp; Shareholders' Equity</t>
  </si>
  <si>
    <t xml:space="preserve">  + Payables &amp; Accruals</t>
  </si>
  <si>
    <t xml:space="preserve">    + Accounts Payable</t>
  </si>
  <si>
    <t xml:space="preserve">    + Other Payables &amp; Accruals</t>
  </si>
  <si>
    <t xml:space="preserve">  + ST Debt</t>
  </si>
  <si>
    <t xml:space="preserve">    + ST Borrowings</t>
  </si>
  <si>
    <t xml:space="preserve">    + ST Lease Liabilities</t>
  </si>
  <si>
    <t xml:space="preserve">      + ST Finance Leases</t>
  </si>
  <si>
    <t xml:space="preserve">      + ST Operating Leases</t>
  </si>
  <si>
    <t xml:space="preserve">  + Other ST Liabilities</t>
  </si>
  <si>
    <t xml:space="preserve">    + Deferred Revenue</t>
  </si>
  <si>
    <t xml:space="preserve">    + Derivatives &amp; Hedging</t>
  </si>
  <si>
    <t xml:space="preserve">    + Misc ST Liabilities</t>
  </si>
  <si>
    <t>Total Current Liabilities</t>
  </si>
  <si>
    <t xml:space="preserve">  + LT Debt</t>
  </si>
  <si>
    <t xml:space="preserve">    + LT Borrowings</t>
  </si>
  <si>
    <t xml:space="preserve">    + LT Lease Liabilities</t>
  </si>
  <si>
    <t xml:space="preserve">      + LT Finance Leases</t>
  </si>
  <si>
    <t xml:space="preserve">      + LT Operating Leases</t>
  </si>
  <si>
    <t xml:space="preserve">  + Other LT Liabilities</t>
  </si>
  <si>
    <t xml:space="preserve">    + Accrued Liabilities</t>
  </si>
  <si>
    <t xml:space="preserve">    + Pension Liabilities</t>
  </si>
  <si>
    <t xml:space="preserve">    + Pensions</t>
  </si>
  <si>
    <t xml:space="preserve">    + Other Post-Ret Benefits</t>
  </si>
  <si>
    <t xml:space="preserve">    + Misc LT Liabilities</t>
  </si>
  <si>
    <t>Total Noncurrent Liabilities</t>
  </si>
  <si>
    <t xml:space="preserve">  + Preferred Equity and Hybrid Capital</t>
  </si>
  <si>
    <t xml:space="preserve">  + Share Capital &amp; APIC</t>
  </si>
  <si>
    <t xml:space="preserve">    + Common Stock</t>
  </si>
  <si>
    <t xml:space="preserve">    + Additional Paid in Capital</t>
  </si>
  <si>
    <t xml:space="preserve">  - Treasury Stock</t>
  </si>
  <si>
    <t xml:space="preserve">  + Retained Earnings</t>
  </si>
  <si>
    <t xml:space="preserve">  + Other Equity</t>
  </si>
  <si>
    <t>Equity Before Minority Interest</t>
  </si>
  <si>
    <t xml:space="preserve">  + Minority/Non Controlling Interest</t>
  </si>
  <si>
    <t>Total Equity</t>
  </si>
  <si>
    <t>Total Liabilities &amp; Equity</t>
  </si>
  <si>
    <t>Shares Outstanding</t>
  </si>
  <si>
    <t>Number of Treasury Shares</t>
  </si>
  <si>
    <t>Future Minimum Operating Lease Obligations</t>
  </si>
  <si>
    <t>Capital Leases - Total</t>
  </si>
  <si>
    <t>Options Granted During Period</t>
  </si>
  <si>
    <t>Options Outstanding at Period End</t>
  </si>
  <si>
    <t>Net Debt to Equity</t>
  </si>
  <si>
    <t>Tangible Common Equity Ratio</t>
  </si>
  <si>
    <t>Number of Employees</t>
  </si>
  <si>
    <t>Cash from Operating Activities</t>
  </si>
  <si>
    <t xml:space="preserve">  + Net Income</t>
  </si>
  <si>
    <t xml:space="preserve">  + Depreciation &amp; Amortization</t>
  </si>
  <si>
    <t xml:space="preserve">  + Non-Cash Items</t>
  </si>
  <si>
    <t xml:space="preserve">    + Stock-Based Compensation</t>
  </si>
  <si>
    <t xml:space="preserve">    + Other Non-Cash Adj</t>
  </si>
  <si>
    <t xml:space="preserve">  + Chg in Non-Cash Work Cap</t>
  </si>
  <si>
    <t xml:space="preserve">    + (Inc) Dec in Accts Receiv</t>
  </si>
  <si>
    <t xml:space="preserve">    + Inc (Dec) in Accts Payable</t>
  </si>
  <si>
    <t xml:space="preserve">    + Inc (Dec) in Other</t>
  </si>
  <si>
    <t xml:space="preserve">  + Net Cash From Disc Ops</t>
  </si>
  <si>
    <t>Cash from Investing Activities</t>
  </si>
  <si>
    <t xml:space="preserve">  + Change in Fixed &amp; Intang</t>
  </si>
  <si>
    <t xml:space="preserve">    + Disp in Fixed &amp; Intang</t>
  </si>
  <si>
    <t xml:space="preserve">    + Disp of Fixed Prod Assets</t>
  </si>
  <si>
    <t xml:space="preserve">    + Disp of Intangible Assets</t>
  </si>
  <si>
    <t xml:space="preserve">    + Acq of Fixed &amp; Intang</t>
  </si>
  <si>
    <t xml:space="preserve">    + Acq of Fixed Prod Assets</t>
  </si>
  <si>
    <t xml:space="preserve">    + Acq of Intangible Assets</t>
  </si>
  <si>
    <t xml:space="preserve">  + Net Change in LT Investment</t>
  </si>
  <si>
    <t xml:space="preserve">    + Dec in LT Investment</t>
  </si>
  <si>
    <t xml:space="preserve">    + Inc in LT Investment</t>
  </si>
  <si>
    <t xml:space="preserve">  + Net Cash From Acq &amp; Div</t>
  </si>
  <si>
    <t xml:space="preserve">    + Cash from Divestitures</t>
  </si>
  <si>
    <t xml:space="preserve">    + Cash for Acq of Subs</t>
  </si>
  <si>
    <t xml:space="preserve">    + Cash for JVs</t>
  </si>
  <si>
    <t xml:space="preserve">  + Other Investing Activities</t>
  </si>
  <si>
    <t>Cash from Financing Activities</t>
  </si>
  <si>
    <t xml:space="preserve">  + Dividends Paid</t>
  </si>
  <si>
    <t xml:space="preserve">  + Cash From (Repayment) Debt</t>
  </si>
  <si>
    <t xml:space="preserve">    + Cash From (Repay) ST Debt</t>
  </si>
  <si>
    <t xml:space="preserve">    + Cash From LT Debt</t>
  </si>
  <si>
    <t xml:space="preserve">    + Repayments of LT Debt</t>
  </si>
  <si>
    <t xml:space="preserve">  + Cash (Repurchase) of Equity</t>
  </si>
  <si>
    <t xml:space="preserve">    + Increase in Capital Stock</t>
  </si>
  <si>
    <t xml:space="preserve">    + Decrease in Capital Stock</t>
  </si>
  <si>
    <t xml:space="preserve">  + Other Financing Activities</t>
  </si>
  <si>
    <t xml:space="preserve">  Effect of Foreign Exchange Rates</t>
  </si>
  <si>
    <t>Trailing 12M EBITDA Margin</t>
  </si>
  <si>
    <t>Net Cash Paid for Acquisitions</t>
  </si>
  <si>
    <t>Free Cash Flow</t>
  </si>
  <si>
    <t>Free Cash Flow to Equity</t>
  </si>
  <si>
    <t>Free Cash Flow per Basic Share</t>
  </si>
  <si>
    <t>IONQ US Equity- Company Financial (Multiple Periods)</t>
  </si>
  <si>
    <t>IONQ US Equity    Periodicity:A    Currency:USD    Estimate Source:BST    Actual Source:Bloomberg</t>
  </si>
  <si>
    <t>In Thousands of USD</t>
  </si>
  <si>
    <t>2020 A (Rep)</t>
  </si>
  <si>
    <t>2021 A (Rep)</t>
  </si>
  <si>
    <t>2022 A (Rep)</t>
  </si>
  <si>
    <t>2023 A (Rep)</t>
  </si>
  <si>
    <t>2024 A (Rep)</t>
  </si>
  <si>
    <t>2025 A (Fwd)</t>
  </si>
  <si>
    <t>2026 A (Fwd)</t>
  </si>
  <si>
    <t xml:space="preserve">  Revenue</t>
  </si>
  <si>
    <t xml:space="preserve">    Specialized Quantum Computing Hardware</t>
  </si>
  <si>
    <t xml:space="preserve">      % of Total</t>
  </si>
  <si>
    <t xml:space="preserve">    Platform, Consulting &amp; Support Services</t>
  </si>
  <si>
    <t xml:space="preserve">    United States</t>
  </si>
  <si>
    <t xml:space="preserve">    Rest of World</t>
  </si>
  <si>
    <t>Entity has no debt</t>
  </si>
  <si>
    <t>Board of directors</t>
  </si>
  <si>
    <t xml:space="preserve">Name </t>
  </si>
  <si>
    <t>Position</t>
  </si>
  <si>
    <t>Past Experience</t>
  </si>
  <si>
    <t>Peter Chapman</t>
  </si>
  <si>
    <t>Chairman</t>
  </si>
  <si>
    <t>CEO and President of IonQ; former CEO of Quantum Circuits Inc.; former CEO of D-Wave Systems</t>
  </si>
  <si>
    <t>Niccolo de Masi</t>
  </si>
  <si>
    <t>CEO</t>
  </si>
  <si>
    <t>Former CEO of Glu Mobile; former CEO of Essential; former CEO of Monstermob; former CEO of Resideo Technologies.</t>
  </si>
  <si>
    <t>Bill Scannel</t>
  </si>
  <si>
    <t>Indep.Director</t>
  </si>
  <si>
    <t>President of Global sabes and Customer operations at Dell</t>
  </si>
  <si>
    <t>Inder Singh</t>
  </si>
  <si>
    <t>Former CFO of NetSuite; former CFO of Oracle; former CFO of Sun Microsystems; former CFO of Siebel Systems.</t>
  </si>
  <si>
    <t>Wendy Thomas</t>
  </si>
  <si>
    <t>Former CEO of ACI Worldwide; former CEO of ACI Worldwide's financial services division; former EVP at ACI Worldwide.</t>
  </si>
  <si>
    <t>Kathy Chou</t>
  </si>
  <si>
    <t>SVP of SaaS Engineering at Nutanix; former SVP of Worldwide Sales Strategy and Operations at Vmware</t>
  </si>
  <si>
    <t>Robert Cardillo</t>
  </si>
  <si>
    <t>Chairman and Chief Strategist of Planet Federal; former Director of the National Geospatial-Intelligence Agency</t>
  </si>
  <si>
    <t>William Scannell</t>
  </si>
  <si>
    <t>President of Global Sales and Customer Operations at Dell Technologies</t>
  </si>
  <si>
    <t>Gabrielle Toledano</t>
  </si>
  <si>
    <t>CEO of Keystone Strategy and Exectuive in Residence for Comcast Ventures</t>
  </si>
  <si>
    <t>Inputs - ESG</t>
  </si>
  <si>
    <t>GHG_SCOPE_1</t>
  </si>
  <si>
    <t>FY 2014</t>
  </si>
  <si>
    <t>FY 2015</t>
  </si>
  <si>
    <t>FY 2016</t>
  </si>
  <si>
    <t>FY 2017</t>
  </si>
  <si>
    <t>FY 2018</t>
  </si>
  <si>
    <t>FY 2019</t>
  </si>
  <si>
    <t>IONQ INC</t>
  </si>
  <si>
    <t>RIGETTI COMPUTING INC</t>
  </si>
  <si>
    <t>D-WAVE QUANTUM INC</t>
  </si>
  <si>
    <t>QUANTUM COMPUTING INC</t>
  </si>
  <si>
    <t>INTL BUSINESS MACHINES CORP</t>
  </si>
  <si>
    <t>HONEYWELL INTERNATIONAL INC</t>
  </si>
  <si>
    <t>MICROSOFT CORP</t>
  </si>
  <si>
    <t>ALPHABET INC-CL A</t>
  </si>
  <si>
    <t>AMAZON.COM INC</t>
  </si>
  <si>
    <t>GHG_SCOPE_2_MARKET_BASED</t>
  </si>
  <si>
    <t>WATER_CONSMPTN</t>
  </si>
  <si>
    <t>TOTAL_WASTE</t>
  </si>
  <si>
    <t>Inputs - Peers</t>
  </si>
  <si>
    <t>Mln USD</t>
  </si>
  <si>
    <t>IONQ US Equity</t>
  </si>
  <si>
    <t>RGTI US Equity</t>
  </si>
  <si>
    <t>QBTS US Equity</t>
  </si>
  <si>
    <t>QUBT US Equity</t>
  </si>
  <si>
    <t>IBM US Equity</t>
  </si>
  <si>
    <t>HON US Equity</t>
  </si>
  <si>
    <t>MSFT US Equity</t>
  </si>
  <si>
    <t>GOOGL US Equity</t>
  </si>
  <si>
    <t>AMZN US Equity</t>
  </si>
  <si>
    <t>SALES_REV_TURN</t>
  </si>
  <si>
    <t>NET_INCOME</t>
  </si>
  <si>
    <t>IS_COGS_TO_FE_AND_PP_AND_G</t>
  </si>
  <si>
    <t>GROSS_PROFIT</t>
  </si>
  <si>
    <t>IS_OPER_INC</t>
  </si>
  <si>
    <t>IS_NET_INTEREST_EXPENSE</t>
  </si>
  <si>
    <t>PRETAX_INC</t>
  </si>
  <si>
    <t>IS_INC_TAX_EXP</t>
  </si>
  <si>
    <t xml:space="preserve">                              -  </t>
  </si>
  <si>
    <t>IS_EPS</t>
  </si>
  <si>
    <t>IS_OPERATING_EXPENSES_RD</t>
  </si>
  <si>
    <t>CASH_CASH_EQTY_STI_DETAILED</t>
  </si>
  <si>
    <t>BS_ACCT_NOTE_RCV</t>
  </si>
  <si>
    <t>BS_INVENTORIES</t>
  </si>
  <si>
    <t>BS_CUR_ASSET_REPORT</t>
  </si>
  <si>
    <t>BS_NET_FIX_ASSET</t>
  </si>
  <si>
    <t>BS_TOT_ASSET</t>
  </si>
  <si>
    <t>ACCT_PAYABLE_ACCRUALS_DETAILED</t>
  </si>
  <si>
    <t>BS_CUR_LIAB</t>
  </si>
  <si>
    <t>BS_LT_BORROW</t>
  </si>
  <si>
    <t>SHORT_AND_LONG_TERM_DEBT</t>
  </si>
  <si>
    <t>TOTAL_EQUITY</t>
  </si>
  <si>
    <t>CF_CASH_FROM_OPER</t>
  </si>
  <si>
    <t>FIXED_INTANG_ASST_CHANGE</t>
  </si>
  <si>
    <t>CF_CASH_FROM_INV_ACT</t>
  </si>
  <si>
    <t>DEBT BORROWING</t>
  </si>
  <si>
    <t>DEBT REPAYMENT</t>
  </si>
  <si>
    <t>CFF_ACTIVITIES_DETAILED</t>
  </si>
  <si>
    <t>CF_NET_CHNG_CASH</t>
  </si>
  <si>
    <t>CF_NET_CHG_ST_DEBT_CPTL_LEAS</t>
  </si>
  <si>
    <t xml:space="preserve"> — </t>
  </si>
  <si>
    <t>CF_LT_DEBT_CAP_LEAS_PROCEEDS</t>
  </si>
  <si>
    <t>CF_LT_DEBT_CAP_LEAS_PAYMENT</t>
  </si>
  <si>
    <t>Date</t>
  </si>
  <si>
    <t>Last Price</t>
  </si>
  <si>
    <t>Volume</t>
  </si>
  <si>
    <t>Cumulative Total Return (Gross Dividends)</t>
  </si>
  <si>
    <t>Volume (in millions of USD)</t>
  </si>
  <si>
    <t>Supply 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</si>
</sst>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_(* \(#,##0.00\);_(* &quot;-&quot;??_);_(@_)"/>
    <numFmt numFmtId="164" formatCode="_-* #,##0.00\ &quot;€&quot;_-;\-* #,##0.00\ &quot;€&quot;_-;_-* &quot;-&quot;??\ &quot;€&quot;_-;_-@_-"/>
    <numFmt numFmtId="165" formatCode="0&quot;A&quot;"/>
    <numFmt numFmtId="166" formatCode="0&quot;E&quot;"/>
    <numFmt numFmtId="167" formatCode="_-* #,##0.00\ _€_-;\-* #,##0.00\ _€_-;_-* &quot;-&quot;??\ _€_-;_-@_-"/>
    <numFmt numFmtId="168" formatCode="0.00\x"/>
    <numFmt numFmtId="169" formatCode="0.00&quot;M&quot;"/>
    <numFmt numFmtId="170" formatCode="0.0%"/>
    <numFmt numFmtId="171" formatCode="&quot;$&quot;#,##0"/>
    <numFmt numFmtId="172" formatCode="_(* #,##0_);_(* \(#,##0\);_(* &quot;-&quot;??_);_(@_)"/>
    <numFmt numFmtId="173" formatCode="0.0"/>
    <numFmt numFmtId="174" formatCode="&quot;$&quot;#,##0.00"/>
    <numFmt numFmtId="175" formatCode="_([$$-409]* #,##0_);_([$$-409]* \(#,##0\);_([$$-409]* &quot;-&quot;??_);_(@_)"/>
    <numFmt numFmtId="176" formatCode="_([$$-409]* #,##0.00_);_([$$-409]* \(#,##0.00\);_([$$-409]* &quot;-&quot;??_);_(@_)"/>
    <numFmt numFmtId="177" formatCode="#,##0.0"/>
    <numFmt numFmtId="178" formatCode="[$-409]d\-mmm;@"/>
    <numFmt numFmtId="179" formatCode="0.000%"/>
    <numFmt numFmtId="180" formatCode="0&quot;+&quot;"/>
    <numFmt numFmtId="181" formatCode="#,##0.000;\-#,##0.000"/>
    <numFmt numFmtId="182" formatCode="_-[$$-409]* #,##0_ ;_-[$$-409]* \-#,##0\ ;_-[$$-409]* &quot;-&quot;??_ ;_-@_ "/>
    <numFmt numFmtId="183" formatCode="0.000000%"/>
    <numFmt numFmtId="184" formatCode="_(* #,##0.000_);_(* \(#,##0.000\);_(* &quot;-&quot;??_);_(@_)"/>
  </numFmts>
  <fonts count="95">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i/>
      <sz val="8"/>
      <color theme="1"/>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color theme="0"/>
      <name val="Consolas"/>
      <family val="3"/>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sz val="9"/>
      <color theme="1"/>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b/>
      <sz val="11"/>
      <color rgb="FFFFFFFF"/>
      <name val="Calibri"/>
      <family val="2"/>
    </font>
    <font>
      <b/>
      <sz val="16"/>
      <color rgb="FFFFFFFF"/>
      <name val="Arial"/>
      <family val="2"/>
    </font>
    <font>
      <sz val="10"/>
      <name val="Calibri"/>
      <family val="2"/>
    </font>
    <font>
      <b/>
      <sz val="10"/>
      <color rgb="FFFFFFFF"/>
      <name val="Arial"/>
      <family val="2"/>
    </font>
    <font>
      <b/>
      <sz val="10"/>
      <color rgb="FF000000"/>
      <name val="Arial"/>
      <family val="2"/>
    </font>
    <font>
      <sz val="10"/>
      <color rgb="FF333333"/>
      <name val="Arial"/>
      <family val="2"/>
    </font>
    <font>
      <sz val="10"/>
      <color rgb="FF000000"/>
      <name val="Arial"/>
      <family val="2"/>
    </font>
    <font>
      <i/>
      <sz val="10"/>
      <color rgb="FF333333"/>
      <name val="Arial"/>
      <family val="2"/>
    </font>
    <font>
      <i/>
      <sz val="10"/>
      <color rgb="FF000000"/>
      <name val="Arial"/>
      <family val="2"/>
    </font>
    <font>
      <sz val="11"/>
      <color rgb="FF000000"/>
      <name val="Calibri"/>
      <family val="2"/>
    </font>
    <font>
      <sz val="10"/>
      <color rgb="FF000000"/>
      <name val="Tahoma"/>
      <family val="2"/>
    </font>
    <font>
      <b/>
      <sz val="9"/>
      <color rgb="FF000000"/>
      <name val="Tahoma"/>
      <family val="2"/>
    </font>
    <font>
      <sz val="9"/>
      <color rgb="FF000000"/>
      <name val="Tahoma"/>
      <family val="2"/>
    </font>
    <font>
      <b/>
      <sz val="10"/>
      <color rgb="FF000000"/>
      <name val="Tahoma"/>
      <family val="2"/>
    </font>
    <font>
      <sz val="11"/>
      <color rgb="FF000000"/>
      <name val="Arial"/>
      <family val="2"/>
      <charset val="1"/>
    </font>
    <font>
      <b/>
      <sz val="11"/>
      <color rgb="FF000000"/>
      <name val="Calibri"/>
      <family val="2"/>
    </font>
    <font>
      <sz val="11"/>
      <name val="Calibri"/>
      <family val="2"/>
    </font>
    <font>
      <b/>
      <sz val="9"/>
      <color theme="1"/>
      <name val="Arial"/>
      <family val="2"/>
    </font>
    <font>
      <b/>
      <sz val="9"/>
      <color rgb="FF000000"/>
      <name val="Arial"/>
      <family val="2"/>
    </font>
    <font>
      <i/>
      <sz val="11"/>
      <color rgb="FF000000"/>
      <name val="Calibri"/>
      <family val="2"/>
    </font>
    <font>
      <b/>
      <sz val="10"/>
      <color rgb="FF333333"/>
      <name val="Arial"/>
      <family val="2"/>
    </font>
    <font>
      <i/>
      <sz val="11"/>
      <color rgb="FF5A5A5A"/>
      <name val="Arial"/>
      <family val="2"/>
    </font>
  </fonts>
  <fills count="21">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4F81BD"/>
        <bgColor rgb="FF000000"/>
      </patternFill>
    </fill>
    <fill>
      <patternFill patternType="solid">
        <fgColor rgb="FFFFFFFF"/>
        <bgColor rgb="FF000000"/>
      </patternFill>
    </fill>
    <fill>
      <patternFill patternType="solid">
        <fgColor rgb="FFF2F2F2"/>
        <bgColor rgb="FF000000"/>
      </patternFill>
    </fill>
    <fill>
      <patternFill patternType="solid">
        <fgColor rgb="FFD8D8D8"/>
        <bgColor rgb="FF000000"/>
      </patternFill>
    </fill>
    <fill>
      <patternFill patternType="solid">
        <fgColor theme="3" tint="0.59999389629810485"/>
        <bgColor rgb="FF000000"/>
      </patternFill>
    </fill>
    <fill>
      <patternFill patternType="solid">
        <fgColor theme="4" tint="0.39997558519241921"/>
        <bgColor indexed="64"/>
      </patternFill>
    </fill>
  </fills>
  <borders count="86">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right style="thin">
        <color rgb="FF000000"/>
      </right>
      <top style="thin">
        <color rgb="FF000000"/>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indexed="64"/>
      </right>
      <top style="dotted">
        <color rgb="FF000000"/>
      </top>
      <bottom style="dotted">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dotted">
        <color indexed="64"/>
      </right>
      <top/>
      <bottom style="dotted">
        <color indexed="64"/>
      </bottom>
      <diagonal/>
    </border>
    <border>
      <left/>
      <right style="dotted">
        <color indexed="64"/>
      </right>
      <top style="dotted">
        <color indexed="64"/>
      </top>
      <bottom/>
      <diagonal/>
    </border>
    <border>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3">
    <xf numFmtId="0" fontId="0" fillId="0" borderId="0"/>
    <xf numFmtId="167"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44" fillId="12" borderId="42">
      <alignment horizontal="right"/>
    </xf>
    <xf numFmtId="0" fontId="72" fillId="12" borderId="0"/>
  </cellStyleXfs>
  <cellXfs count="895">
    <xf numFmtId="0" fontId="0" fillId="0" borderId="0" xfId="0"/>
    <xf numFmtId="0" fontId="3" fillId="0" borderId="0" xfId="0" applyFont="1"/>
    <xf numFmtId="0" fontId="4" fillId="2" borderId="0" xfId="0" applyFont="1" applyFill="1"/>
    <xf numFmtId="0" fontId="5" fillId="2" borderId="0" xfId="0" applyFont="1" applyFill="1"/>
    <xf numFmtId="165" fontId="4" fillId="2" borderId="0" xfId="0" applyNumberFormat="1" applyFont="1" applyFill="1"/>
    <xf numFmtId="166"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0" fontId="10" fillId="0" borderId="0" xfId="0" applyFont="1"/>
    <xf numFmtId="0" fontId="12" fillId="0" borderId="0" xfId="0" applyFont="1" applyAlignment="1">
      <alignment horizontal="left"/>
    </xf>
    <xf numFmtId="168"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170"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5" fontId="16" fillId="0" borderId="4" xfId="0" applyNumberFormat="1" applyFont="1" applyBorder="1" applyAlignment="1">
      <alignment horizontal="center"/>
    </xf>
    <xf numFmtId="166" fontId="16" fillId="3" borderId="4" xfId="0" applyNumberFormat="1" applyFont="1" applyFill="1" applyBorder="1" applyAlignment="1">
      <alignment horizontal="center"/>
    </xf>
    <xf numFmtId="170"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43"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0" fontId="3" fillId="6" borderId="0" xfId="0" applyFont="1" applyFill="1" applyAlignment="1">
      <alignment horizontal="right"/>
    </xf>
    <xf numFmtId="9" fontId="3" fillId="10" borderId="0" xfId="0" applyNumberFormat="1" applyFont="1" applyFill="1" applyAlignment="1">
      <alignment horizontal="right"/>
    </xf>
    <xf numFmtId="0" fontId="6" fillId="2" borderId="0" xfId="0" applyFont="1" applyFill="1"/>
    <xf numFmtId="0" fontId="13" fillId="11"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0" fontId="13" fillId="11" borderId="0" xfId="0" applyFont="1" applyFill="1" applyAlignment="1">
      <alignment horizontal="center"/>
    </xf>
    <xf numFmtId="0" fontId="9" fillId="0" borderId="0" xfId="3"/>
    <xf numFmtId="10" fontId="0" fillId="0" borderId="0" xfId="2" applyNumberFormat="1" applyFont="1" applyAlignment="1">
      <alignment horizontal="center"/>
    </xf>
    <xf numFmtId="170" fontId="0" fillId="0" borderId="0" xfId="2" applyNumberFormat="1" applyFont="1"/>
    <xf numFmtId="10" fontId="3" fillId="0" borderId="0" xfId="2" applyNumberFormat="1" applyFont="1" applyAlignment="1">
      <alignment horizontal="center"/>
    </xf>
    <xf numFmtId="170" fontId="3" fillId="0" borderId="0" xfId="2" applyNumberFormat="1" applyFont="1"/>
    <xf numFmtId="0" fontId="21"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1" fontId="22" fillId="2" borderId="0" xfId="0" applyNumberFormat="1" applyFont="1" applyFill="1" applyAlignment="1">
      <alignment horizontal="center"/>
    </xf>
    <xf numFmtId="1" fontId="23" fillId="2" borderId="0" xfId="0" applyNumberFormat="1" applyFont="1" applyFill="1"/>
    <xf numFmtId="0" fontId="3" fillId="0" borderId="8" xfId="0" applyFont="1" applyBorder="1"/>
    <xf numFmtId="0" fontId="3" fillId="4" borderId="8" xfId="0" applyFont="1" applyFill="1" applyBorder="1"/>
    <xf numFmtId="3" fontId="3" fillId="3" borderId="8" xfId="0" applyNumberFormat="1" applyFont="1" applyFill="1" applyBorder="1" applyAlignment="1">
      <alignment horizontal="center"/>
    </xf>
    <xf numFmtId="9" fontId="3"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0" fillId="4" borderId="8" xfId="0" quotePrefix="1" applyFill="1" applyBorder="1"/>
    <xf numFmtId="3" fontId="0" fillId="0" borderId="8" xfId="0" applyNumberFormat="1" applyBorder="1" applyAlignment="1">
      <alignment horizontal="center"/>
    </xf>
    <xf numFmtId="9" fontId="0" fillId="0" borderId="8" xfId="0" applyNumberFormat="1" applyBorder="1" applyAlignment="1">
      <alignment horizontal="center"/>
    </xf>
    <xf numFmtId="0" fontId="0" fillId="0" borderId="0" xfId="0" quotePrefix="1"/>
    <xf numFmtId="9" fontId="3" fillId="0" borderId="0" xfId="0" applyNumberFormat="1" applyFont="1" applyAlignment="1">
      <alignment horizontal="center"/>
    </xf>
    <xf numFmtId="0" fontId="24" fillId="0" borderId="0" xfId="0" applyFont="1"/>
    <xf numFmtId="0" fontId="3" fillId="0" borderId="0" xfId="0" applyFont="1" applyAlignment="1">
      <alignment horizontal="center"/>
    </xf>
    <xf numFmtId="0" fontId="0" fillId="3" borderId="0" xfId="0" applyFill="1" applyAlignment="1">
      <alignment horizontal="center"/>
    </xf>
    <xf numFmtId="9" fontId="0" fillId="0" borderId="0" xfId="2" applyFont="1"/>
    <xf numFmtId="170"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1"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66" fontId="6" fillId="2" borderId="0" xfId="0" applyNumberFormat="1" applyFont="1" applyFill="1"/>
    <xf numFmtId="170" fontId="0" fillId="0" borderId="0" xfId="2" applyNumberFormat="1" applyFont="1" applyFill="1"/>
    <xf numFmtId="0" fontId="0" fillId="2" borderId="0" xfId="0" applyFill="1"/>
    <xf numFmtId="0" fontId="5" fillId="2" borderId="0" xfId="0" applyFont="1" applyFill="1" applyAlignment="1">
      <alignment horizontal="right"/>
    </xf>
    <xf numFmtId="0" fontId="4" fillId="11" borderId="0" xfId="0" applyFont="1" applyFill="1"/>
    <xf numFmtId="0" fontId="5" fillId="11" borderId="0" xfId="0" applyFont="1" applyFill="1"/>
    <xf numFmtId="0" fontId="0" fillId="11" borderId="0" xfId="0" applyFill="1"/>
    <xf numFmtId="0" fontId="5" fillId="11" borderId="0" xfId="0" applyFont="1" applyFill="1" applyAlignment="1">
      <alignment horizontal="right"/>
    </xf>
    <xf numFmtId="0" fontId="5" fillId="5" borderId="0" xfId="0" applyFont="1" applyFill="1" applyAlignment="1">
      <alignment horizontal="right"/>
    </xf>
    <xf numFmtId="0" fontId="7" fillId="0" borderId="0" xfId="0" applyFont="1"/>
    <xf numFmtId="175" fontId="0" fillId="0" borderId="0" xfId="9" applyNumberFormat="1" applyFont="1" applyFill="1" applyAlignment="1">
      <alignment horizontal="right"/>
    </xf>
    <xf numFmtId="10" fontId="27" fillId="4" borderId="0" xfId="0" applyNumberFormat="1" applyFont="1" applyFill="1"/>
    <xf numFmtId="10" fontId="31"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3" fillId="0" borderId="0" xfId="2" applyNumberFormat="1" applyFont="1"/>
    <xf numFmtId="0" fontId="13" fillId="0" borderId="0" xfId="0" applyFont="1"/>
    <xf numFmtId="0" fontId="20" fillId="0" borderId="0" xfId="0" applyFont="1"/>
    <xf numFmtId="0" fontId="6" fillId="11" borderId="0" xfId="0" applyFont="1" applyFill="1"/>
    <xf numFmtId="0" fontId="20" fillId="11" borderId="0" xfId="0" applyFont="1" applyFill="1"/>
    <xf numFmtId="0" fontId="33"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43" fontId="12" fillId="0" borderId="0" xfId="0" applyNumberFormat="1" applyFont="1"/>
    <xf numFmtId="165" fontId="6" fillId="2" borderId="0" xfId="0" applyNumberFormat="1" applyFont="1" applyFill="1"/>
    <xf numFmtId="165" fontId="6" fillId="2" borderId="26" xfId="0" applyNumberFormat="1" applyFont="1" applyFill="1" applyBorder="1"/>
    <xf numFmtId="0" fontId="13" fillId="5" borderId="26" xfId="0" applyFont="1" applyFill="1" applyBorder="1"/>
    <xf numFmtId="3" fontId="36" fillId="0" borderId="0" xfId="0" applyNumberFormat="1" applyFont="1"/>
    <xf numFmtId="3" fontId="36" fillId="0" borderId="26" xfId="0" applyNumberFormat="1" applyFont="1" applyBorder="1"/>
    <xf numFmtId="3" fontId="12" fillId="0" borderId="0" xfId="0" applyNumberFormat="1" applyFont="1"/>
    <xf numFmtId="170" fontId="34" fillId="5" borderId="0" xfId="0" applyNumberFormat="1" applyFont="1" applyFill="1"/>
    <xf numFmtId="3" fontId="13" fillId="0" borderId="0" xfId="0" applyNumberFormat="1" applyFont="1"/>
    <xf numFmtId="3" fontId="13" fillId="0" borderId="26" xfId="0" applyNumberFormat="1" applyFont="1" applyBorder="1"/>
    <xf numFmtId="3" fontId="12" fillId="0" borderId="26" xfId="0" applyNumberFormat="1" applyFont="1" applyBorder="1"/>
    <xf numFmtId="0" fontId="39" fillId="0" borderId="0" xfId="0" applyFont="1"/>
    <xf numFmtId="0" fontId="13" fillId="0" borderId="26" xfId="0" applyFont="1" applyBorder="1"/>
    <xf numFmtId="166" fontId="6" fillId="0" borderId="0" xfId="0" applyNumberFormat="1" applyFont="1"/>
    <xf numFmtId="0" fontId="40" fillId="0" borderId="0" xfId="0" applyFont="1"/>
    <xf numFmtId="172" fontId="36" fillId="0" borderId="0" xfId="1" applyNumberFormat="1" applyFont="1" applyFill="1"/>
    <xf numFmtId="172" fontId="12" fillId="0" borderId="0" xfId="1" applyNumberFormat="1" applyFont="1" applyFill="1"/>
    <xf numFmtId="0" fontId="41" fillId="0" borderId="0" xfId="0" applyFont="1"/>
    <xf numFmtId="170" fontId="12" fillId="0" borderId="0" xfId="2" applyNumberFormat="1" applyFont="1" applyFill="1"/>
    <xf numFmtId="170" fontId="13" fillId="0" borderId="0" xfId="2" applyNumberFormat="1" applyFont="1" applyFill="1"/>
    <xf numFmtId="170" fontId="13" fillId="0" borderId="17" xfId="2" applyNumberFormat="1" applyFont="1" applyFill="1" applyBorder="1"/>
    <xf numFmtId="170" fontId="12" fillId="0" borderId="0" xfId="2" applyNumberFormat="1" applyFont="1" applyFill="1" applyBorder="1"/>
    <xf numFmtId="172" fontId="12" fillId="0" borderId="0" xfId="1" applyNumberFormat="1" applyFont="1" applyFill="1" applyBorder="1"/>
    <xf numFmtId="0" fontId="13" fillId="0" borderId="17" xfId="0" applyFont="1" applyBorder="1"/>
    <xf numFmtId="9" fontId="12" fillId="0" borderId="0" xfId="2" applyFont="1" applyFill="1" applyBorder="1"/>
    <xf numFmtId="170" fontId="34" fillId="0" borderId="0" xfId="2" applyNumberFormat="1" applyFont="1" applyFill="1"/>
    <xf numFmtId="37" fontId="12" fillId="0" borderId="0" xfId="1" applyNumberFormat="1" applyFont="1" applyFill="1" applyAlignment="1">
      <alignment wrapText="1"/>
    </xf>
    <xf numFmtId="170" fontId="13" fillId="0" borderId="26" xfId="2" applyNumberFormat="1" applyFont="1" applyFill="1" applyBorder="1"/>
    <xf numFmtId="165" fontId="6" fillId="2" borderId="17" xfId="0" applyNumberFormat="1" applyFont="1" applyFill="1" applyBorder="1"/>
    <xf numFmtId="0" fontId="41" fillId="11" borderId="0" xfId="0" applyFont="1" applyFill="1"/>
    <xf numFmtId="0" fontId="13" fillId="11" borderId="17" xfId="0" applyFont="1" applyFill="1" applyBorder="1"/>
    <xf numFmtId="37" fontId="36" fillId="0" borderId="0" xfId="1" applyNumberFormat="1" applyFont="1" applyFill="1" applyAlignment="1">
      <alignment wrapText="1"/>
    </xf>
    <xf numFmtId="37" fontId="36" fillId="0" borderId="17" xfId="1" applyNumberFormat="1" applyFont="1" applyFill="1" applyBorder="1"/>
    <xf numFmtId="172" fontId="13" fillId="0" borderId="0" xfId="0" applyNumberFormat="1" applyFont="1"/>
    <xf numFmtId="3" fontId="34" fillId="0" borderId="0" xfId="0" applyNumberFormat="1" applyFont="1"/>
    <xf numFmtId="3" fontId="34" fillId="0" borderId="17" xfId="0" applyNumberFormat="1" applyFont="1" applyBorder="1"/>
    <xf numFmtId="170" fontId="12" fillId="0" borderId="0" xfId="0" applyNumberFormat="1" applyFont="1"/>
    <xf numFmtId="0" fontId="36" fillId="11" borderId="0" xfId="0" applyFont="1" applyFill="1"/>
    <xf numFmtId="0" fontId="36" fillId="11" borderId="17" xfId="0" applyFont="1" applyFill="1" applyBorder="1"/>
    <xf numFmtId="172" fontId="35" fillId="0" borderId="0" xfId="1" applyNumberFormat="1" applyFont="1" applyFill="1"/>
    <xf numFmtId="172" fontId="12" fillId="0" borderId="17" xfId="1" applyNumberFormat="1" applyFont="1" applyFill="1" applyBorder="1"/>
    <xf numFmtId="172" fontId="13" fillId="0" borderId="0" xfId="1" applyNumberFormat="1" applyFont="1" applyFill="1"/>
    <xf numFmtId="170" fontId="13" fillId="0" borderId="0" xfId="2" applyNumberFormat="1" applyFont="1"/>
    <xf numFmtId="0" fontId="13" fillId="0" borderId="30" xfId="0" applyFont="1" applyBorder="1"/>
    <xf numFmtId="0" fontId="13" fillId="0" borderId="31" xfId="0" applyFont="1" applyBorder="1"/>
    <xf numFmtId="172" fontId="13" fillId="0" borderId="31" xfId="0" applyNumberFormat="1" applyFont="1" applyBorder="1"/>
    <xf numFmtId="172" fontId="13" fillId="0" borderId="0" xfId="1" applyNumberFormat="1" applyFont="1" applyFill="1" applyBorder="1"/>
    <xf numFmtId="172" fontId="12" fillId="0" borderId="26" xfId="1" applyNumberFormat="1" applyFont="1" applyFill="1" applyBorder="1"/>
    <xf numFmtId="0" fontId="13" fillId="0" borderId="32" xfId="0" applyFont="1" applyBorder="1"/>
    <xf numFmtId="0" fontId="13" fillId="0" borderId="33" xfId="0" applyFont="1" applyBorder="1"/>
    <xf numFmtId="172" fontId="13" fillId="0" borderId="33" xfId="0" applyNumberFormat="1" applyFont="1" applyBorder="1"/>
    <xf numFmtId="172" fontId="13" fillId="0" borderId="34" xfId="0" applyNumberFormat="1" applyFont="1" applyBorder="1"/>
    <xf numFmtId="0" fontId="13" fillId="0" borderId="35" xfId="0" applyFont="1" applyBorder="1"/>
    <xf numFmtId="0" fontId="13" fillId="0" borderId="7" xfId="0" applyFont="1" applyBorder="1"/>
    <xf numFmtId="0" fontId="13" fillId="0" borderId="36" xfId="0" applyFont="1" applyBorder="1"/>
    <xf numFmtId="172" fontId="13" fillId="0" borderId="7" xfId="0" applyNumberFormat="1" applyFont="1" applyBorder="1"/>
    <xf numFmtId="172" fontId="13" fillId="0" borderId="37" xfId="0" applyNumberFormat="1" applyFont="1" applyBorder="1"/>
    <xf numFmtId="2" fontId="13" fillId="0" borderId="0" xfId="0" applyNumberFormat="1" applyFont="1"/>
    <xf numFmtId="14" fontId="20" fillId="0" borderId="0" xfId="0" applyNumberFormat="1" applyFont="1"/>
    <xf numFmtId="0" fontId="20" fillId="0" borderId="26" xfId="0" applyFont="1" applyBorder="1"/>
    <xf numFmtId="172" fontId="35" fillId="0" borderId="0" xfId="1" applyNumberFormat="1" applyFont="1"/>
    <xf numFmtId="14" fontId="13" fillId="0" borderId="0" xfId="0" applyNumberFormat="1" applyFont="1"/>
    <xf numFmtId="172" fontId="13" fillId="0" borderId="0" xfId="1" applyNumberFormat="1" applyFont="1"/>
    <xf numFmtId="0" fontId="35" fillId="0" borderId="0" xfId="0" applyFont="1"/>
    <xf numFmtId="0" fontId="31" fillId="0" borderId="0" xfId="0" applyFont="1"/>
    <xf numFmtId="43" fontId="13" fillId="0" borderId="0" xfId="0" applyNumberFormat="1" applyFont="1"/>
    <xf numFmtId="176" fontId="13" fillId="0" borderId="0" xfId="0" applyNumberFormat="1" applyFont="1"/>
    <xf numFmtId="0" fontId="40" fillId="0" borderId="26" xfId="0" applyFont="1" applyBorder="1"/>
    <xf numFmtId="10" fontId="40" fillId="0" borderId="0" xfId="0" applyNumberFormat="1" applyFont="1"/>
    <xf numFmtId="0" fontId="13" fillId="11" borderId="26" xfId="0" applyFont="1" applyFill="1" applyBorder="1"/>
    <xf numFmtId="172" fontId="13" fillId="0" borderId="26" xfId="0" applyNumberFormat="1" applyFont="1" applyBorder="1"/>
    <xf numFmtId="37" fontId="13" fillId="0" borderId="0" xfId="0" applyNumberFormat="1" applyFont="1"/>
    <xf numFmtId="37" fontId="13" fillId="0" borderId="26" xfId="0" applyNumberFormat="1" applyFont="1" applyBorder="1"/>
    <xf numFmtId="9" fontId="13" fillId="0" borderId="0" xfId="0" applyNumberFormat="1" applyFont="1"/>
    <xf numFmtId="9" fontId="13" fillId="0" borderId="26" xfId="0" applyNumberFormat="1" applyFont="1" applyBorder="1"/>
    <xf numFmtId="9" fontId="34" fillId="0" borderId="0" xfId="0" applyNumberFormat="1" applyFont="1"/>
    <xf numFmtId="172" fontId="13" fillId="0" borderId="0" xfId="0" applyNumberFormat="1" applyFont="1" applyAlignment="1">
      <alignment horizontal="left"/>
    </xf>
    <xf numFmtId="0" fontId="13" fillId="0" borderId="38" xfId="0" applyFont="1" applyBorder="1"/>
    <xf numFmtId="0" fontId="13" fillId="0" borderId="39" xfId="0" applyFont="1" applyBorder="1"/>
    <xf numFmtId="0" fontId="13" fillId="0" borderId="40" xfId="0" applyFont="1" applyBorder="1"/>
    <xf numFmtId="172" fontId="13" fillId="0" borderId="39" xfId="0" applyNumberFormat="1" applyFont="1" applyBorder="1"/>
    <xf numFmtId="9" fontId="40" fillId="0" borderId="0" xfId="0" applyNumberFormat="1" applyFont="1"/>
    <xf numFmtId="0" fontId="13" fillId="0" borderId="9" xfId="0" applyFont="1" applyBorder="1" applyAlignment="1">
      <alignment horizontal="right"/>
    </xf>
    <xf numFmtId="0" fontId="22" fillId="2" borderId="0" xfId="0" applyFont="1" applyFill="1"/>
    <xf numFmtId="1" fontId="6" fillId="2" borderId="0" xfId="0" applyNumberFormat="1" applyFont="1" applyFill="1" applyAlignment="1">
      <alignment horizontal="right"/>
    </xf>
    <xf numFmtId="0" fontId="13" fillId="11" borderId="0" xfId="0" applyFont="1" applyFill="1" applyAlignment="1">
      <alignment horizontal="right"/>
    </xf>
    <xf numFmtId="37" fontId="27" fillId="3" borderId="0" xfId="0" applyNumberFormat="1" applyFont="1" applyFill="1" applyAlignment="1">
      <alignment horizontal="right"/>
    </xf>
    <xf numFmtId="37" fontId="3" fillId="4" borderId="0" xfId="0" applyNumberFormat="1" applyFont="1" applyFill="1" applyAlignment="1">
      <alignment horizontal="right"/>
    </xf>
    <xf numFmtId="37" fontId="3" fillId="0" borderId="0" xfId="0" applyNumberFormat="1" applyFont="1" applyAlignment="1">
      <alignment horizontal="right"/>
    </xf>
    <xf numFmtId="39" fontId="42" fillId="3" borderId="0" xfId="0" applyNumberFormat="1" applyFont="1" applyFill="1" applyAlignment="1">
      <alignment horizontal="right"/>
    </xf>
    <xf numFmtId="9" fontId="13" fillId="11" borderId="0" xfId="2" applyFont="1" applyFill="1" applyBorder="1"/>
    <xf numFmtId="9" fontId="13" fillId="11" borderId="0" xfId="2" applyFont="1" applyFill="1" applyBorder="1" applyAlignment="1">
      <alignment horizontal="right"/>
    </xf>
    <xf numFmtId="37" fontId="7" fillId="4" borderId="8" xfId="0" applyNumberFormat="1" applyFont="1" applyFill="1" applyBorder="1" applyAlignment="1">
      <alignment horizontal="right"/>
    </xf>
    <xf numFmtId="10" fontId="0" fillId="0" borderId="8" xfId="2" applyNumberFormat="1" applyFont="1" applyBorder="1" applyAlignment="1">
      <alignment horizontal="center"/>
    </xf>
    <xf numFmtId="37" fontId="7" fillId="4" borderId="0" xfId="0" applyNumberFormat="1" applyFont="1" applyFill="1" applyAlignment="1">
      <alignment horizontal="right"/>
    </xf>
    <xf numFmtId="37" fontId="42" fillId="3" borderId="0" xfId="0" applyNumberFormat="1" applyFont="1" applyFill="1" applyAlignment="1">
      <alignment horizontal="right"/>
    </xf>
    <xf numFmtId="10" fontId="3" fillId="0" borderId="0" xfId="2" applyNumberFormat="1" applyFont="1" applyBorder="1" applyAlignment="1">
      <alignment horizontal="center"/>
    </xf>
    <xf numFmtId="0" fontId="3" fillId="0" borderId="20" xfId="0" applyFont="1" applyBorder="1"/>
    <xf numFmtId="37" fontId="3" fillId="0" borderId="20" xfId="0" applyNumberFormat="1" applyFont="1" applyBorder="1" applyAlignment="1">
      <alignment horizontal="right"/>
    </xf>
    <xf numFmtId="10" fontId="3" fillId="0" borderId="20" xfId="2" applyNumberFormat="1" applyFont="1" applyBorder="1" applyAlignment="1">
      <alignment horizontal="center"/>
    </xf>
    <xf numFmtId="37" fontId="7" fillId="0" borderId="8" xfId="0" applyNumberFormat="1" applyFont="1" applyBorder="1" applyAlignment="1">
      <alignment horizontal="right"/>
    </xf>
    <xf numFmtId="37" fontId="0" fillId="0" borderId="0" xfId="0" applyNumberFormat="1" applyAlignment="1">
      <alignment horizontal="right"/>
    </xf>
    <xf numFmtId="0" fontId="31" fillId="3" borderId="0" xfId="0" applyFont="1" applyFill="1" applyAlignment="1">
      <alignment horizontal="right"/>
    </xf>
    <xf numFmtId="172"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29" fillId="0" borderId="9" xfId="10" applyFont="1" applyBorder="1"/>
    <xf numFmtId="0" fontId="0" fillId="0" borderId="9" xfId="10" applyFont="1" applyBorder="1" applyAlignment="1">
      <alignment horizontal="right"/>
    </xf>
    <xf numFmtId="0" fontId="13" fillId="11" borderId="0" xfId="0" applyFont="1" applyFill="1" applyAlignment="1">
      <alignment horizontal="left"/>
    </xf>
    <xf numFmtId="170" fontId="12" fillId="0" borderId="0" xfId="4" applyNumberFormat="1" applyFont="1" applyFill="1" applyBorder="1" applyAlignment="1">
      <alignment horizontal="left"/>
    </xf>
    <xf numFmtId="170" fontId="37" fillId="0" borderId="0" xfId="4" applyNumberFormat="1" applyFont="1" applyFill="1" applyBorder="1" applyAlignment="1">
      <alignment horizontal="left"/>
    </xf>
    <xf numFmtId="0" fontId="13" fillId="0" borderId="0" xfId="0" applyFont="1" applyAlignment="1">
      <alignment horizontal="right"/>
    </xf>
    <xf numFmtId="170"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42" fillId="3" borderId="8" xfId="0" applyNumberFormat="1" applyFont="1" applyFill="1" applyBorder="1" applyAlignment="1">
      <alignment horizontal="right"/>
    </xf>
    <xf numFmtId="37" fontId="7" fillId="0" borderId="0" xfId="0" applyNumberFormat="1" applyFont="1" applyAlignment="1">
      <alignment horizontal="right"/>
    </xf>
    <xf numFmtId="0" fontId="24" fillId="0" borderId="0" xfId="0" applyFont="1" applyAlignment="1">
      <alignment horizontal="left" indent="1"/>
    </xf>
    <xf numFmtId="37" fontId="45" fillId="3" borderId="0" xfId="0" applyNumberFormat="1" applyFont="1" applyFill="1" applyAlignment="1">
      <alignment horizontal="right"/>
    </xf>
    <xf numFmtId="0" fontId="3" fillId="0" borderId="19" xfId="0" applyFont="1" applyBorder="1"/>
    <xf numFmtId="37" fontId="42" fillId="3" borderId="19" xfId="0" applyNumberFormat="1" applyFont="1" applyFill="1" applyBorder="1" applyAlignment="1">
      <alignment horizontal="right"/>
    </xf>
    <xf numFmtId="10" fontId="3" fillId="0" borderId="19" xfId="2" applyNumberFormat="1" applyFont="1" applyBorder="1" applyAlignment="1">
      <alignment horizontal="center"/>
    </xf>
    <xf numFmtId="0" fontId="3" fillId="0" borderId="46" xfId="0" applyFont="1" applyBorder="1"/>
    <xf numFmtId="10" fontId="3" fillId="0" borderId="46" xfId="2" applyNumberFormat="1" applyFont="1" applyBorder="1" applyAlignment="1">
      <alignment horizontal="center"/>
    </xf>
    <xf numFmtId="37" fontId="42" fillId="0" borderId="19" xfId="0" applyNumberFormat="1" applyFont="1" applyBorder="1" applyAlignment="1">
      <alignment horizontal="right"/>
    </xf>
    <xf numFmtId="0" fontId="0" fillId="0" borderId="46" xfId="0" applyBorder="1"/>
    <xf numFmtId="37" fontId="42" fillId="3" borderId="46" xfId="0" applyNumberFormat="1" applyFont="1" applyFill="1" applyBorder="1" applyAlignment="1">
      <alignment horizontal="right"/>
    </xf>
    <xf numFmtId="172" fontId="36" fillId="0" borderId="26" xfId="1" applyNumberFormat="1" applyFont="1" applyFill="1" applyBorder="1"/>
    <xf numFmtId="0" fontId="41" fillId="4" borderId="0" xfId="0" applyFont="1" applyFill="1"/>
    <xf numFmtId="170" fontId="13" fillId="4" borderId="0" xfId="2" applyNumberFormat="1" applyFont="1" applyFill="1"/>
    <xf numFmtId="170" fontId="13" fillId="4" borderId="17" xfId="2" applyNumberFormat="1" applyFont="1" applyFill="1" applyBorder="1"/>
    <xf numFmtId="170" fontId="34" fillId="4" borderId="0" xfId="2" applyNumberFormat="1" applyFont="1" applyFill="1"/>
    <xf numFmtId="9" fontId="12" fillId="4" borderId="0" xfId="2" applyFont="1" applyFill="1" applyBorder="1"/>
    <xf numFmtId="37" fontId="47" fillId="3" borderId="0" xfId="0" applyNumberFormat="1" applyFont="1" applyFill="1" applyAlignment="1">
      <alignment horizontal="right"/>
    </xf>
    <xf numFmtId="0" fontId="13" fillId="0" borderId="0" xfId="0" applyFont="1" applyAlignment="1">
      <alignment horizontal="left" indent="1"/>
    </xf>
    <xf numFmtId="0" fontId="48" fillId="0" borderId="0" xfId="0" applyFont="1"/>
    <xf numFmtId="0" fontId="48" fillId="0" borderId="0" xfId="0" applyFont="1" applyAlignment="1">
      <alignment horizontal="left"/>
    </xf>
    <xf numFmtId="170" fontId="48" fillId="0" borderId="0" xfId="2" applyNumberFormat="1" applyFont="1" applyFill="1"/>
    <xf numFmtId="170" fontId="48" fillId="0" borderId="0" xfId="1" applyNumberFormat="1" applyFont="1" applyFill="1"/>
    <xf numFmtId="170" fontId="48" fillId="0" borderId="26" xfId="2" applyNumberFormat="1" applyFont="1" applyFill="1" applyBorder="1"/>
    <xf numFmtId="170" fontId="48" fillId="0" borderId="17" xfId="2" applyNumberFormat="1" applyFont="1" applyFill="1" applyBorder="1"/>
    <xf numFmtId="170" fontId="49" fillId="0" borderId="0" xfId="2" applyNumberFormat="1" applyFont="1" applyFill="1"/>
    <xf numFmtId="0" fontId="48" fillId="0" borderId="0" xfId="0" applyFont="1" applyAlignment="1">
      <alignment horizontal="left" indent="1"/>
    </xf>
    <xf numFmtId="0" fontId="49" fillId="0" borderId="0" xfId="0" applyFont="1"/>
    <xf numFmtId="37" fontId="36" fillId="0" borderId="17" xfId="1" applyNumberFormat="1" applyFont="1" applyBorder="1"/>
    <xf numFmtId="37" fontId="36" fillId="0" borderId="0" xfId="1" applyNumberFormat="1" applyFont="1" applyAlignment="1">
      <alignment wrapText="1"/>
    </xf>
    <xf numFmtId="170" fontId="48" fillId="0" borderId="0" xfId="2" applyNumberFormat="1" applyFont="1"/>
    <xf numFmtId="170" fontId="48" fillId="0" borderId="26" xfId="2" applyNumberFormat="1" applyFont="1" applyBorder="1"/>
    <xf numFmtId="172" fontId="36" fillId="0" borderId="0" xfId="1" applyNumberFormat="1" applyFont="1"/>
    <xf numFmtId="172" fontId="36" fillId="0" borderId="26" xfId="1" applyNumberFormat="1" applyFont="1" applyBorder="1"/>
    <xf numFmtId="170" fontId="34" fillId="0" borderId="0" xfId="0" applyNumberFormat="1" applyFont="1"/>
    <xf numFmtId="170" fontId="48" fillId="0" borderId="0" xfId="2" applyNumberFormat="1" applyFont="1" applyFill="1" applyBorder="1"/>
    <xf numFmtId="0" fontId="48" fillId="0" borderId="0" xfId="0" applyFont="1" applyAlignment="1">
      <alignment horizontal="left" indent="2"/>
    </xf>
    <xf numFmtId="172" fontId="50" fillId="0" borderId="0" xfId="1" applyNumberFormat="1" applyFont="1" applyFill="1"/>
    <xf numFmtId="172" fontId="50" fillId="0" borderId="26" xfId="1" applyNumberFormat="1" applyFont="1" applyFill="1" applyBorder="1"/>
    <xf numFmtId="172" fontId="38" fillId="0" borderId="0" xfId="1" applyNumberFormat="1" applyFont="1" applyFill="1"/>
    <xf numFmtId="172" fontId="20" fillId="0" borderId="0" xfId="1" applyNumberFormat="1" applyFont="1" applyFill="1"/>
    <xf numFmtId="170" fontId="47" fillId="5" borderId="0" xfId="2" applyNumberFormat="1" applyFont="1" applyFill="1"/>
    <xf numFmtId="37" fontId="12" fillId="0" borderId="0" xfId="1" applyNumberFormat="1" applyFont="1" applyAlignment="1">
      <alignment wrapText="1"/>
    </xf>
    <xf numFmtId="170" fontId="31" fillId="5" borderId="0" xfId="2" applyNumberFormat="1" applyFont="1" applyFill="1"/>
    <xf numFmtId="170" fontId="47" fillId="5" borderId="0" xfId="0" applyNumberFormat="1" applyFont="1" applyFill="1"/>
    <xf numFmtId="170" fontId="48" fillId="0" borderId="0" xfId="0" applyNumberFormat="1" applyFont="1"/>
    <xf numFmtId="170" fontId="48" fillId="0" borderId="17" xfId="0" applyNumberFormat="1" applyFont="1" applyBorder="1"/>
    <xf numFmtId="1" fontId="47" fillId="5" borderId="0" xfId="0" applyNumberFormat="1" applyFont="1" applyFill="1"/>
    <xf numFmtId="177" fontId="48" fillId="0" borderId="0" xfId="0" applyNumberFormat="1" applyFont="1"/>
    <xf numFmtId="177" fontId="48" fillId="0" borderId="17" xfId="0" applyNumberFormat="1" applyFont="1" applyBorder="1"/>
    <xf numFmtId="177" fontId="47" fillId="5" borderId="0" xfId="0" applyNumberFormat="1" applyFont="1" applyFill="1"/>
    <xf numFmtId="0" fontId="41" fillId="0" borderId="0" xfId="0" applyFont="1" applyAlignment="1">
      <alignment horizontal="left" indent="1"/>
    </xf>
    <xf numFmtId="170" fontId="49" fillId="0" borderId="17" xfId="2" applyNumberFormat="1" applyFont="1" applyFill="1" applyBorder="1"/>
    <xf numFmtId="172" fontId="50" fillId="0" borderId="0" xfId="1" applyNumberFormat="1" applyFont="1" applyFill="1" applyAlignment="1">
      <alignment horizontal="right"/>
    </xf>
    <xf numFmtId="172" fontId="50" fillId="0" borderId="26" xfId="1" applyNumberFormat="1" applyFont="1" applyBorder="1" applyAlignment="1">
      <alignment horizontal="right"/>
    </xf>
    <xf numFmtId="172" fontId="41" fillId="0" borderId="0" xfId="0" applyNumberFormat="1" applyFont="1" applyAlignment="1">
      <alignment horizontal="right"/>
    </xf>
    <xf numFmtId="172" fontId="50" fillId="0" borderId="0" xfId="1" applyNumberFormat="1" applyFont="1"/>
    <xf numFmtId="172" fontId="50" fillId="0" borderId="26" xfId="1" applyNumberFormat="1" applyFont="1" applyBorder="1"/>
    <xf numFmtId="172" fontId="41" fillId="0" borderId="0" xfId="0" applyNumberFormat="1" applyFont="1"/>
    <xf numFmtId="172" fontId="36" fillId="0" borderId="0" xfId="1" applyNumberFormat="1" applyFont="1" applyBorder="1"/>
    <xf numFmtId="172" fontId="50" fillId="0" borderId="26" xfId="1" applyNumberFormat="1" applyFont="1" applyFill="1" applyBorder="1" applyAlignment="1">
      <alignment horizontal="right"/>
    </xf>
    <xf numFmtId="0" fontId="24" fillId="0" borderId="0" xfId="0" applyFont="1" applyAlignment="1">
      <alignment horizontal="left" indent="2"/>
    </xf>
    <xf numFmtId="170" fontId="12" fillId="4" borderId="0" xfId="0" applyNumberFormat="1" applyFont="1" applyFill="1"/>
    <xf numFmtId="170" fontId="12" fillId="4" borderId="17" xfId="0" applyNumberFormat="1" applyFont="1" applyFill="1" applyBorder="1"/>
    <xf numFmtId="170" fontId="34" fillId="4" borderId="0" xfId="0" applyNumberFormat="1" applyFont="1" applyFill="1"/>
    <xf numFmtId="170" fontId="12" fillId="0" borderId="26" xfId="0" applyNumberFormat="1" applyFont="1" applyBorder="1"/>
    <xf numFmtId="0" fontId="51" fillId="0" borderId="0" xfId="0" applyFont="1"/>
    <xf numFmtId="172" fontId="13" fillId="0" borderId="47" xfId="0" applyNumberFormat="1" applyFont="1" applyBorder="1"/>
    <xf numFmtId="172" fontId="13" fillId="0" borderId="48" xfId="0" applyNumberFormat="1" applyFont="1" applyBorder="1"/>
    <xf numFmtId="170" fontId="47" fillId="0" borderId="0" xfId="0" applyNumberFormat="1" applyFont="1"/>
    <xf numFmtId="172" fontId="34" fillId="5" borderId="0" xfId="0" applyNumberFormat="1" applyFont="1" applyFill="1"/>
    <xf numFmtId="172" fontId="50" fillId="0" borderId="0" xfId="1" applyNumberFormat="1" applyFont="1" applyBorder="1"/>
    <xf numFmtId="9" fontId="48" fillId="0" borderId="0" xfId="0" applyNumberFormat="1" applyFont="1"/>
    <xf numFmtId="9" fontId="48" fillId="0" borderId="26" xfId="0" applyNumberFormat="1" applyFont="1" applyBorder="1"/>
    <xf numFmtId="9" fontId="47" fillId="5" borderId="0" xfId="0" applyNumberFormat="1" applyFont="1" applyFill="1"/>
    <xf numFmtId="172" fontId="36" fillId="0" borderId="0" xfId="1" applyNumberFormat="1" applyFont="1" applyFill="1" applyBorder="1"/>
    <xf numFmtId="0" fontId="13" fillId="0" borderId="22" xfId="0" applyFont="1" applyBorder="1"/>
    <xf numFmtId="172" fontId="36" fillId="0" borderId="22" xfId="1" applyNumberFormat="1" applyFont="1" applyBorder="1"/>
    <xf numFmtId="172" fontId="36" fillId="0" borderId="49" xfId="1" applyNumberFormat="1" applyFont="1" applyBorder="1"/>
    <xf numFmtId="172" fontId="13" fillId="0" borderId="22" xfId="0" applyNumberFormat="1" applyFont="1" applyBorder="1"/>
    <xf numFmtId="172" fontId="43" fillId="0" borderId="0" xfId="1" applyNumberFormat="1" applyFont="1" applyBorder="1"/>
    <xf numFmtId="172" fontId="43" fillId="0" borderId="26" xfId="1" applyNumberFormat="1" applyFont="1" applyBorder="1"/>
    <xf numFmtId="172" fontId="43" fillId="0" borderId="22" xfId="1" applyNumberFormat="1" applyFont="1" applyFill="1" applyBorder="1"/>
    <xf numFmtId="172" fontId="43" fillId="0" borderId="49" xfId="1" applyNumberFormat="1" applyFont="1" applyFill="1" applyBorder="1"/>
    <xf numFmtId="172" fontId="40" fillId="0" borderId="22" xfId="0" applyNumberFormat="1" applyFont="1" applyBorder="1"/>
    <xf numFmtId="172" fontId="40" fillId="0" borderId="0" xfId="0" applyNumberFormat="1" applyFont="1"/>
    <xf numFmtId="0" fontId="34" fillId="5" borderId="0" xfId="0" applyFont="1" applyFill="1" applyAlignment="1">
      <alignment horizontal="right"/>
    </xf>
    <xf numFmtId="14" fontId="34" fillId="5" borderId="0" xfId="0" applyNumberFormat="1" applyFont="1" applyFill="1" applyAlignment="1">
      <alignment horizontal="right"/>
    </xf>
    <xf numFmtId="165" fontId="4" fillId="2" borderId="2" xfId="0" applyNumberFormat="1" applyFont="1" applyFill="1" applyBorder="1"/>
    <xf numFmtId="168" fontId="0" fillId="0" borderId="2" xfId="1" applyNumberFormat="1" applyFont="1" applyBorder="1" applyAlignment="1">
      <alignment horizontal="right"/>
    </xf>
    <xf numFmtId="0" fontId="0" fillId="0" borderId="2" xfId="0" applyBorder="1" applyAlignment="1">
      <alignment horizontal="right"/>
    </xf>
    <xf numFmtId="0" fontId="13" fillId="11"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8"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0" fontId="52" fillId="0" borderId="0" xfId="0" applyFont="1"/>
    <xf numFmtId="37" fontId="45" fillId="0" borderId="0" xfId="1" applyNumberFormat="1" applyFont="1" applyBorder="1"/>
    <xf numFmtId="37" fontId="45" fillId="0" borderId="26" xfId="1" applyNumberFormat="1" applyFont="1" applyBorder="1"/>
    <xf numFmtId="37" fontId="45" fillId="0" borderId="0" xfId="1" applyNumberFormat="1" applyFont="1" applyFill="1" applyBorder="1"/>
    <xf numFmtId="37" fontId="45"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6" fontId="6" fillId="2" borderId="0" xfId="0" applyNumberFormat="1" applyFont="1" applyFill="1" applyAlignment="1">
      <alignment horizontal="right"/>
    </xf>
    <xf numFmtId="165" fontId="6" fillId="2" borderId="0" xfId="0" applyNumberFormat="1" applyFont="1" applyFill="1" applyAlignment="1">
      <alignment horizontal="right"/>
    </xf>
    <xf numFmtId="165" fontId="6" fillId="2" borderId="2" xfId="0" applyNumberFormat="1" applyFont="1" applyFill="1" applyBorder="1" applyAlignment="1">
      <alignment horizontal="right"/>
    </xf>
    <xf numFmtId="168" fontId="0" fillId="0" borderId="0" xfId="1" applyNumberFormat="1" applyFont="1" applyBorder="1" applyAlignment="1">
      <alignment horizontal="right"/>
    </xf>
    <xf numFmtId="0" fontId="53" fillId="0" borderId="0" xfId="5" applyFont="1"/>
    <xf numFmtId="0" fontId="28" fillId="0" borderId="0" xfId="5" applyFont="1"/>
    <xf numFmtId="0" fontId="28" fillId="5" borderId="0" xfId="5" applyFont="1" applyFill="1"/>
    <xf numFmtId="0" fontId="53" fillId="0" borderId="0" xfId="5" applyFont="1" applyAlignment="1">
      <alignment vertical="center"/>
    </xf>
    <xf numFmtId="0" fontId="13" fillId="0" borderId="8" xfId="0" applyFont="1" applyBorder="1"/>
    <xf numFmtId="172" fontId="36" fillId="0" borderId="8" xfId="1" applyNumberFormat="1" applyFont="1" applyFill="1" applyBorder="1"/>
    <xf numFmtId="172" fontId="36" fillId="0" borderId="23" xfId="1" applyNumberFormat="1" applyFont="1" applyFill="1" applyBorder="1"/>
    <xf numFmtId="172" fontId="13" fillId="0" borderId="8" xfId="0" applyNumberFormat="1" applyFont="1" applyBorder="1"/>
    <xf numFmtId="172" fontId="41" fillId="0" borderId="8" xfId="0" applyNumberFormat="1" applyFont="1" applyBorder="1"/>
    <xf numFmtId="0" fontId="28" fillId="0" borderId="0" xfId="5" applyFont="1" applyAlignment="1">
      <alignment vertical="center"/>
    </xf>
    <xf numFmtId="0" fontId="54" fillId="2" borderId="0" xfId="5" applyFont="1" applyFill="1" applyAlignment="1">
      <alignment horizontal="center" vertical="center"/>
    </xf>
    <xf numFmtId="0" fontId="55" fillId="2" borderId="21" xfId="5" applyFont="1" applyFill="1" applyBorder="1" applyAlignment="1">
      <alignment horizontal="center" vertical="center" wrapText="1"/>
    </xf>
    <xf numFmtId="0" fontId="55" fillId="2" borderId="54" xfId="5" applyFont="1" applyFill="1" applyBorder="1" applyAlignment="1">
      <alignment horizontal="center" vertical="center" wrapText="1"/>
    </xf>
    <xf numFmtId="0" fontId="55" fillId="2" borderId="26" xfId="5" applyFont="1" applyFill="1" applyBorder="1" applyAlignment="1">
      <alignment horizontal="center" vertical="center" wrapText="1"/>
    </xf>
    <xf numFmtId="0" fontId="56" fillId="5" borderId="21" xfId="5" applyFont="1" applyFill="1" applyBorder="1"/>
    <xf numFmtId="0" fontId="56" fillId="5" borderId="54" xfId="5" applyFont="1" applyFill="1" applyBorder="1"/>
    <xf numFmtId="0" fontId="56" fillId="5" borderId="0" xfId="5" applyFont="1" applyFill="1"/>
    <xf numFmtId="0" fontId="56" fillId="5" borderId="26" xfId="5" applyFont="1" applyFill="1" applyBorder="1"/>
    <xf numFmtId="2" fontId="28" fillId="5" borderId="0" xfId="2" applyNumberFormat="1" applyFont="1" applyFill="1" applyBorder="1" applyAlignment="1">
      <alignment horizontal="center" vertical="center"/>
    </xf>
    <xf numFmtId="10" fontId="7" fillId="3" borderId="24" xfId="2" applyNumberFormat="1" applyFont="1" applyFill="1" applyBorder="1"/>
    <xf numFmtId="43" fontId="40" fillId="0" borderId="0" xfId="0" applyNumberFormat="1" applyFont="1"/>
    <xf numFmtId="0" fontId="30" fillId="0" borderId="0" xfId="0" applyFont="1"/>
    <xf numFmtId="165" fontId="16" fillId="0" borderId="36" xfId="0" applyNumberFormat="1" applyFont="1" applyBorder="1" applyAlignment="1">
      <alignment horizontal="center"/>
    </xf>
    <xf numFmtId="2" fontId="3" fillId="0" borderId="0" xfId="0" applyNumberFormat="1" applyFont="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3" xfId="5" applyFont="1" applyBorder="1"/>
    <xf numFmtId="0" fontId="5" fillId="0" borderId="53" xfId="5" applyFont="1" applyBorder="1"/>
    <xf numFmtId="0" fontId="4" fillId="5" borderId="52" xfId="5" applyFont="1" applyFill="1" applyBorder="1"/>
    <xf numFmtId="0" fontId="4" fillId="0" borderId="52" xfId="5" applyFont="1" applyBorder="1"/>
    <xf numFmtId="0" fontId="10" fillId="0" borderId="0" xfId="5" applyFont="1" applyAlignment="1">
      <alignment vertical="center"/>
    </xf>
    <xf numFmtId="0" fontId="7" fillId="0" borderId="0" xfId="5" applyFont="1" applyAlignment="1">
      <alignment vertical="center"/>
    </xf>
    <xf numFmtId="0" fontId="31" fillId="0" borderId="0" xfId="5" applyFont="1" applyAlignment="1">
      <alignment vertical="center"/>
    </xf>
    <xf numFmtId="173" fontId="10" fillId="0" borderId="0" xfId="5" applyNumberFormat="1" applyFont="1" applyAlignment="1">
      <alignment vertical="center"/>
    </xf>
    <xf numFmtId="4" fontId="10" fillId="0" borderId="0" xfId="5" applyNumberFormat="1" applyFont="1" applyAlignment="1">
      <alignment vertical="center"/>
    </xf>
    <xf numFmtId="4" fontId="10" fillId="0" borderId="0" xfId="5" applyNumberFormat="1" applyFont="1" applyAlignment="1">
      <alignment horizontal="center" vertical="center"/>
    </xf>
    <xf numFmtId="2" fontId="10" fillId="0" borderId="0" xfId="2" applyNumberFormat="1" applyFont="1" applyBorder="1" applyAlignment="1">
      <alignment horizontal="center"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4" fontId="31" fillId="0" borderId="0" xfId="5" applyNumberFormat="1" applyFont="1" applyAlignment="1">
      <alignment vertical="center"/>
    </xf>
    <xf numFmtId="170" fontId="10" fillId="0" borderId="0" xfId="5" applyNumberFormat="1" applyFont="1" applyAlignment="1">
      <alignment vertical="center"/>
    </xf>
    <xf numFmtId="0" fontId="7" fillId="0" borderId="0" xfId="5" applyFont="1"/>
    <xf numFmtId="0" fontId="31" fillId="0" borderId="0" xfId="5" applyFont="1"/>
    <xf numFmtId="173" fontId="10" fillId="0" borderId="0" xfId="5" applyNumberFormat="1" applyFont="1"/>
    <xf numFmtId="4" fontId="10" fillId="0" borderId="0" xfId="5" applyNumberFormat="1" applyFont="1"/>
    <xf numFmtId="4" fontId="10" fillId="0" borderId="0" xfId="5" applyNumberFormat="1" applyFont="1" applyAlignment="1">
      <alignment horizontal="center"/>
    </xf>
    <xf numFmtId="9" fontId="10" fillId="0" borderId="0" xfId="2" applyFont="1" applyBorder="1" applyAlignment="1"/>
    <xf numFmtId="3" fontId="10" fillId="0" borderId="0" xfId="5" applyNumberFormat="1" applyFont="1"/>
    <xf numFmtId="2" fontId="10" fillId="0" borderId="0" xfId="5" applyNumberFormat="1" applyFont="1"/>
    <xf numFmtId="10" fontId="10" fillId="0" borderId="0" xfId="5" applyNumberFormat="1" applyFont="1"/>
    <xf numFmtId="174" fontId="31" fillId="0" borderId="0" xfId="5" applyNumberFormat="1" applyFont="1"/>
    <xf numFmtId="170" fontId="10"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4" fontId="10" fillId="0" borderId="0" xfId="5" applyNumberFormat="1" applyFont="1" applyAlignment="1">
      <alignment horizontal="center"/>
    </xf>
    <xf numFmtId="0" fontId="10" fillId="0" borderId="0" xfId="5" applyFont="1" applyAlignment="1">
      <alignment horizontal="center"/>
    </xf>
    <xf numFmtId="0" fontId="4" fillId="2" borderId="0" xfId="5" applyFont="1" applyFill="1" applyAlignment="1">
      <alignment horizontal="center" vertical="center"/>
    </xf>
    <xf numFmtId="0" fontId="10" fillId="5" borderId="0" xfId="5" applyFont="1" applyFill="1" applyAlignment="1">
      <alignment horizontal="center"/>
    </xf>
    <xf numFmtId="0" fontId="2" fillId="0" borderId="0" xfId="0" applyFont="1"/>
    <xf numFmtId="170" fontId="10" fillId="0" borderId="0" xfId="5" applyNumberFormat="1" applyFont="1" applyAlignment="1">
      <alignment horizontal="center"/>
    </xf>
    <xf numFmtId="168" fontId="2" fillId="0" borderId="0" xfId="1" applyNumberFormat="1" applyFont="1" applyAlignment="1">
      <alignment horizontal="center"/>
    </xf>
    <xf numFmtId="10" fontId="31"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7" fillId="0" borderId="18" xfId="8" applyNumberFormat="1" applyFont="1" applyBorder="1" applyAlignment="1">
      <alignment horizontal="center"/>
    </xf>
    <xf numFmtId="37" fontId="31" fillId="3" borderId="55" xfId="8" applyNumberFormat="1" applyFont="1" applyFill="1" applyBorder="1" applyAlignment="1">
      <alignment horizontal="center"/>
    </xf>
    <xf numFmtId="37" fontId="31" fillId="3" borderId="23" xfId="8" applyNumberFormat="1" applyFont="1" applyFill="1" applyBorder="1" applyAlignment="1">
      <alignment horizontal="center"/>
    </xf>
    <xf numFmtId="37" fontId="31" fillId="3" borderId="8" xfId="5" applyNumberFormat="1" applyFont="1" applyFill="1" applyBorder="1" applyAlignment="1">
      <alignment horizontal="center"/>
    </xf>
    <xf numFmtId="1" fontId="10" fillId="4" borderId="0" xfId="8" applyNumberFormat="1" applyFont="1" applyFill="1" applyAlignment="1">
      <alignment horizontal="left" vertical="center"/>
    </xf>
    <xf numFmtId="37" fontId="27" fillId="0" borderId="21" xfId="8" applyNumberFormat="1" applyFont="1" applyBorder="1" applyAlignment="1">
      <alignment horizontal="center"/>
    </xf>
    <xf numFmtId="37" fontId="31" fillId="3" borderId="54" xfId="8" applyNumberFormat="1" applyFont="1" applyFill="1" applyBorder="1" applyAlignment="1">
      <alignment horizontal="center"/>
    </xf>
    <xf numFmtId="37" fontId="31" fillId="3" borderId="26" xfId="8" applyNumberFormat="1" applyFont="1" applyFill="1" applyBorder="1" applyAlignment="1">
      <alignment horizontal="center"/>
    </xf>
    <xf numFmtId="37" fontId="31" fillId="3" borderId="0" xfId="5" applyNumberFormat="1" applyFont="1" applyFill="1" applyAlignment="1">
      <alignment horizontal="center"/>
    </xf>
    <xf numFmtId="37" fontId="31" fillId="3" borderId="54" xfId="8" applyNumberFormat="1" applyFont="1" applyFill="1" applyBorder="1" applyAlignment="1">
      <alignment horizontal="center" wrapText="1"/>
    </xf>
    <xf numFmtId="1" fontId="2" fillId="4" borderId="0" xfId="8" applyNumberFormat="1" applyFont="1" applyFill="1" applyAlignment="1">
      <alignment horizontal="left"/>
    </xf>
    <xf numFmtId="1" fontId="2" fillId="0" borderId="0" xfId="8" applyNumberFormat="1" applyFont="1" applyAlignment="1">
      <alignment horizontal="left"/>
    </xf>
    <xf numFmtId="37" fontId="7" fillId="0" borderId="54" xfId="8" applyNumberFormat="1" applyFont="1" applyBorder="1" applyAlignment="1">
      <alignment horizontal="center" wrapText="1"/>
    </xf>
    <xf numFmtId="37" fontId="7" fillId="0" borderId="26" xfId="8" applyNumberFormat="1" applyFont="1" applyBorder="1" applyAlignment="1">
      <alignment horizontal="center" wrapText="1"/>
    </xf>
    <xf numFmtId="37" fontId="7" fillId="0" borderId="0" xfId="5" applyNumberFormat="1" applyFont="1" applyAlignment="1">
      <alignment horizontal="center"/>
    </xf>
    <xf numFmtId="37" fontId="31" fillId="3" borderId="26" xfId="8" applyNumberFormat="1" applyFont="1" applyFill="1" applyBorder="1" applyAlignment="1">
      <alignment horizontal="center" wrapText="1"/>
    </xf>
    <xf numFmtId="37" fontId="7" fillId="3" borderId="0" xfId="5" applyNumberFormat="1" applyFont="1" applyFill="1" applyAlignment="1">
      <alignment horizontal="center"/>
    </xf>
    <xf numFmtId="39" fontId="31" fillId="3" borderId="0" xfId="5" applyNumberFormat="1" applyFont="1" applyFill="1" applyAlignment="1">
      <alignment horizontal="center"/>
    </xf>
    <xf numFmtId="1" fontId="27" fillId="0" borderId="21" xfId="8" applyNumberFormat="1" applyFont="1" applyBorder="1" applyAlignment="1">
      <alignment horizontal="center" wrapText="1"/>
    </xf>
    <xf numFmtId="1" fontId="27" fillId="0" borderId="54" xfId="8" applyNumberFormat="1" applyFont="1" applyBorder="1" applyAlignment="1">
      <alignment horizontal="center" wrapText="1"/>
    </xf>
    <xf numFmtId="1" fontId="27" fillId="0" borderId="26" xfId="8" applyNumberFormat="1" applyFont="1" applyBorder="1" applyAlignment="1">
      <alignment horizontal="center" wrapText="1"/>
    </xf>
    <xf numFmtId="0" fontId="10" fillId="2" borderId="21" xfId="5" applyFont="1" applyFill="1" applyBorder="1"/>
    <xf numFmtId="0" fontId="10" fillId="2" borderId="54" xfId="5" applyFont="1" applyFill="1" applyBorder="1"/>
    <xf numFmtId="0" fontId="10" fillId="2" borderId="26" xfId="5" applyFont="1" applyFill="1" applyBorder="1"/>
    <xf numFmtId="0" fontId="10" fillId="2" borderId="0" xfId="5" applyFont="1" applyFill="1" applyAlignment="1">
      <alignment horizontal="center"/>
    </xf>
    <xf numFmtId="0" fontId="10" fillId="5" borderId="21" xfId="5" applyFont="1" applyFill="1" applyBorder="1"/>
    <xf numFmtId="0" fontId="10" fillId="5" borderId="54" xfId="5" applyFont="1" applyFill="1" applyBorder="1"/>
    <xf numFmtId="0" fontId="10" fillId="5" borderId="26" xfId="5" applyFont="1" applyFill="1" applyBorder="1"/>
    <xf numFmtId="0" fontId="10" fillId="0" borderId="54" xfId="5" applyFont="1" applyBorder="1"/>
    <xf numFmtId="37" fontId="27" fillId="0" borderId="54" xfId="8" applyNumberFormat="1" applyFont="1" applyBorder="1" applyAlignment="1">
      <alignment horizontal="center"/>
    </xf>
    <xf numFmtId="172" fontId="30" fillId="0" borderId="0" xfId="1" applyNumberFormat="1" applyFont="1" applyBorder="1"/>
    <xf numFmtId="0" fontId="35" fillId="0" borderId="22" xfId="0" applyFont="1" applyBorder="1"/>
    <xf numFmtId="37" fontId="8" fillId="4" borderId="0" xfId="0" applyNumberFormat="1" applyFont="1" applyFill="1" applyAlignment="1">
      <alignment horizontal="right"/>
    </xf>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39" fontId="7" fillId="0" borderId="0" xfId="0" applyNumberFormat="1" applyFont="1" applyAlignment="1">
      <alignment horizontal="right"/>
    </xf>
    <xf numFmtId="172" fontId="13" fillId="0" borderId="56" xfId="0" applyNumberFormat="1" applyFont="1" applyBorder="1"/>
    <xf numFmtId="0" fontId="4" fillId="2" borderId="57" xfId="5" applyFont="1" applyFill="1" applyBorder="1" applyAlignment="1">
      <alignment horizontal="center"/>
    </xf>
    <xf numFmtId="0" fontId="4" fillId="5" borderId="59" xfId="5" applyFont="1" applyFill="1" applyBorder="1"/>
    <xf numFmtId="170" fontId="28" fillId="0" borderId="0" xfId="5" applyNumberFormat="1" applyFont="1" applyAlignment="1">
      <alignment horizontal="center" vertical="center"/>
    </xf>
    <xf numFmtId="170" fontId="28" fillId="0" borderId="57" xfId="5" applyNumberFormat="1" applyFont="1" applyBorder="1" applyAlignment="1">
      <alignment horizontal="center" vertical="center"/>
    </xf>
    <xf numFmtId="0" fontId="28" fillId="0" borderId="57" xfId="5" applyFont="1" applyBorder="1"/>
    <xf numFmtId="170" fontId="10" fillId="0" borderId="0" xfId="5" applyNumberFormat="1" applyFont="1" applyAlignment="1">
      <alignment horizontal="center" vertical="center"/>
    </xf>
    <xf numFmtId="170" fontId="10" fillId="0" borderId="57" xfId="5" applyNumberFormat="1" applyFont="1" applyBorder="1" applyAlignment="1">
      <alignment horizontal="center" vertical="center"/>
    </xf>
    <xf numFmtId="170" fontId="28" fillId="5" borderId="0" xfId="5" applyNumberFormat="1" applyFont="1" applyFill="1" applyAlignment="1">
      <alignment horizontal="center" vertical="center"/>
    </xf>
    <xf numFmtId="170" fontId="28" fillId="5" borderId="57" xfId="5" applyNumberFormat="1" applyFont="1" applyFill="1" applyBorder="1" applyAlignment="1">
      <alignment horizontal="center" vertical="center"/>
    </xf>
    <xf numFmtId="170" fontId="10" fillId="5" borderId="0" xfId="5" applyNumberFormat="1" applyFont="1" applyFill="1" applyAlignment="1">
      <alignment horizontal="center" vertical="center"/>
    </xf>
    <xf numFmtId="170" fontId="10" fillId="5" borderId="57" xfId="5" applyNumberFormat="1" applyFont="1" applyFill="1" applyBorder="1" applyAlignment="1">
      <alignment horizontal="center" vertical="center"/>
    </xf>
    <xf numFmtId="0" fontId="4" fillId="2" borderId="60" xfId="5" applyFont="1" applyFill="1" applyBorder="1" applyAlignment="1">
      <alignment horizontal="center"/>
    </xf>
    <xf numFmtId="0" fontId="4" fillId="5" borderId="62" xfId="5" applyFont="1" applyFill="1" applyBorder="1"/>
    <xf numFmtId="170" fontId="28" fillId="4" borderId="60" xfId="5" applyNumberFormat="1" applyFont="1" applyFill="1" applyBorder="1" applyAlignment="1">
      <alignment horizontal="center" vertical="center"/>
    </xf>
    <xf numFmtId="170" fontId="28" fillId="4" borderId="57" xfId="5" applyNumberFormat="1" applyFont="1" applyFill="1" applyBorder="1" applyAlignment="1">
      <alignment horizontal="center" vertical="center"/>
    </xf>
    <xf numFmtId="173" fontId="10" fillId="4" borderId="60" xfId="5" applyNumberFormat="1" applyFont="1" applyFill="1" applyBorder="1"/>
    <xf numFmtId="173" fontId="10" fillId="4" borderId="57" xfId="5" applyNumberFormat="1" applyFont="1" applyFill="1" applyBorder="1"/>
    <xf numFmtId="170" fontId="10" fillId="0" borderId="60" xfId="5" applyNumberFormat="1" applyFont="1" applyBorder="1" applyAlignment="1">
      <alignment horizontal="center" vertical="center"/>
    </xf>
    <xf numFmtId="170" fontId="28" fillId="5" borderId="60" xfId="5" applyNumberFormat="1" applyFont="1" applyFill="1" applyBorder="1" applyAlignment="1">
      <alignment horizontal="center" vertical="center"/>
    </xf>
    <xf numFmtId="170" fontId="10" fillId="5" borderId="60" xfId="5" applyNumberFormat="1" applyFont="1" applyFill="1" applyBorder="1" applyAlignment="1">
      <alignment horizontal="center" vertical="center"/>
    </xf>
    <xf numFmtId="170" fontId="28" fillId="0" borderId="60" xfId="5" applyNumberFormat="1" applyFont="1" applyBorder="1" applyAlignment="1">
      <alignment horizontal="center" vertical="center"/>
    </xf>
    <xf numFmtId="173" fontId="10" fillId="0" borderId="60" xfId="5" applyNumberFormat="1" applyFont="1" applyBorder="1"/>
    <xf numFmtId="173" fontId="10" fillId="0" borderId="57" xfId="5" applyNumberFormat="1" applyFont="1" applyBorder="1"/>
    <xf numFmtId="170" fontId="10" fillId="0" borderId="60" xfId="2" applyNumberFormat="1" applyFont="1" applyBorder="1" applyAlignment="1">
      <alignment horizontal="center" vertical="center"/>
    </xf>
    <xf numFmtId="9" fontId="28" fillId="5" borderId="60" xfId="2" applyFont="1" applyFill="1" applyBorder="1" applyAlignment="1">
      <alignment horizontal="center" vertical="center"/>
    </xf>
    <xf numFmtId="9" fontId="28" fillId="5" borderId="57" xfId="2" applyFont="1" applyFill="1" applyBorder="1" applyAlignment="1">
      <alignment horizontal="center" vertical="center"/>
    </xf>
    <xf numFmtId="0" fontId="4" fillId="2" borderId="57" xfId="5" applyFont="1" applyFill="1" applyBorder="1"/>
    <xf numFmtId="2" fontId="10" fillId="0" borderId="60" xfId="5" applyNumberFormat="1" applyFont="1" applyBorder="1" applyAlignment="1">
      <alignment horizontal="center" vertical="center"/>
    </xf>
    <xf numFmtId="2" fontId="10" fillId="0" borderId="57" xfId="5" applyNumberFormat="1" applyFont="1" applyBorder="1" applyAlignment="1">
      <alignment horizontal="center" vertical="center"/>
    </xf>
    <xf numFmtId="2" fontId="28" fillId="5" borderId="60" xfId="2" applyNumberFormat="1" applyFont="1" applyFill="1" applyBorder="1" applyAlignment="1">
      <alignment horizontal="center" vertical="center"/>
    </xf>
    <xf numFmtId="2" fontId="28" fillId="5" borderId="57" xfId="2" applyNumberFormat="1" applyFont="1" applyFill="1" applyBorder="1" applyAlignment="1">
      <alignment horizontal="center" vertical="center"/>
    </xf>
    <xf numFmtId="2" fontId="10" fillId="5" borderId="57" xfId="5" applyNumberFormat="1" applyFont="1" applyFill="1" applyBorder="1" applyAlignment="1">
      <alignment horizontal="center" vertical="center"/>
    </xf>
    <xf numFmtId="0" fontId="4" fillId="2" borderId="60" xfId="5" applyFont="1" applyFill="1" applyBorder="1"/>
    <xf numFmtId="4" fontId="10" fillId="0" borderId="60" xfId="5" applyNumberFormat="1" applyFont="1" applyBorder="1" applyAlignment="1">
      <alignment horizontal="center" vertical="center"/>
    </xf>
    <xf numFmtId="2" fontId="10" fillId="0" borderId="57" xfId="2" applyNumberFormat="1" applyFont="1" applyBorder="1" applyAlignment="1">
      <alignment horizontal="center" vertical="center"/>
    </xf>
    <xf numFmtId="4" fontId="10" fillId="0" borderId="60" xfId="5" applyNumberFormat="1" applyFont="1" applyBorder="1" applyAlignment="1">
      <alignment horizontal="center"/>
    </xf>
    <xf numFmtId="2" fontId="10" fillId="0" borderId="57" xfId="2" applyNumberFormat="1" applyFont="1" applyBorder="1" applyAlignment="1">
      <alignment horizontal="center"/>
    </xf>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63" xfId="5" applyFont="1" applyFill="1" applyBorder="1"/>
    <xf numFmtId="2" fontId="10" fillId="0" borderId="63" xfId="5" applyNumberFormat="1" applyFont="1" applyBorder="1" applyAlignment="1">
      <alignment horizontal="center"/>
    </xf>
    <xf numFmtId="170"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2" applyNumberFormat="1" applyFont="1" applyFill="1" applyBorder="1" applyAlignment="1"/>
    <xf numFmtId="2" fontId="5" fillId="0" borderId="0" xfId="5" applyNumberFormat="1" applyFont="1"/>
    <xf numFmtId="174" fontId="5" fillId="0" borderId="0" xfId="5" applyNumberFormat="1" applyFont="1" applyAlignment="1">
      <alignment horizontal="center"/>
    </xf>
    <xf numFmtId="2" fontId="28" fillId="0" borderId="60" xfId="5" applyNumberFormat="1" applyFont="1" applyBorder="1" applyAlignment="1">
      <alignment horizontal="center" vertical="center"/>
    </xf>
    <xf numFmtId="2" fontId="28" fillId="0" borderId="57" xfId="5" applyNumberFormat="1" applyFont="1" applyBorder="1" applyAlignment="1">
      <alignment horizontal="center" vertical="center"/>
    </xf>
    <xf numFmtId="4" fontId="28" fillId="0" borderId="60" xfId="5" applyNumberFormat="1" applyFont="1" applyBorder="1" applyAlignment="1">
      <alignment horizontal="center" vertical="center"/>
    </xf>
    <xf numFmtId="2" fontId="28" fillId="0" borderId="57" xfId="2" applyNumberFormat="1" applyFont="1" applyBorder="1" applyAlignment="1">
      <alignment horizontal="center" vertical="center"/>
    </xf>
    <xf numFmtId="2" fontId="28" fillId="0" borderId="0" xfId="2" applyNumberFormat="1" applyFont="1" applyBorder="1" applyAlignment="1">
      <alignment horizontal="center" vertical="center"/>
    </xf>
    <xf numFmtId="4" fontId="28" fillId="0" borderId="0" xfId="5" applyNumberFormat="1" applyFont="1" applyAlignment="1">
      <alignment horizontal="center" vertical="center"/>
    </xf>
    <xf numFmtId="2" fontId="10" fillId="5" borderId="0" xfId="5" applyNumberFormat="1" applyFont="1" applyFill="1" applyAlignment="1">
      <alignment horizontal="center" vertical="center"/>
    </xf>
    <xf numFmtId="0" fontId="7" fillId="0" borderId="53" xfId="5" applyFont="1" applyBorder="1" applyAlignment="1">
      <alignment vertical="center"/>
    </xf>
    <xf numFmtId="0" fontId="31" fillId="0" borderId="53" xfId="5" applyFont="1" applyBorder="1" applyAlignment="1">
      <alignment vertical="center"/>
    </xf>
    <xf numFmtId="170" fontId="10" fillId="0" borderId="53" xfId="5" applyNumberFormat="1" applyFont="1" applyBorder="1" applyAlignment="1">
      <alignment horizontal="center" vertical="center"/>
    </xf>
    <xf numFmtId="170" fontId="10" fillId="0" borderId="58" xfId="5" applyNumberFormat="1" applyFont="1" applyBorder="1" applyAlignment="1">
      <alignment horizontal="center" vertical="center"/>
    </xf>
    <xf numFmtId="170" fontId="10" fillId="0" borderId="61" xfId="5" applyNumberFormat="1" applyFont="1" applyBorder="1" applyAlignment="1">
      <alignment horizontal="center" vertical="center"/>
    </xf>
    <xf numFmtId="170" fontId="10" fillId="0" borderId="61" xfId="2" applyNumberFormat="1" applyFont="1" applyBorder="1" applyAlignment="1">
      <alignment horizontal="center" vertical="center"/>
    </xf>
    <xf numFmtId="2" fontId="10" fillId="0" borderId="61" xfId="5" applyNumberFormat="1" applyFont="1" applyBorder="1" applyAlignment="1">
      <alignment horizontal="center" vertical="center"/>
    </xf>
    <xf numFmtId="2" fontId="10" fillId="0" borderId="58" xfId="5" applyNumberFormat="1" applyFont="1" applyBorder="1" applyAlignment="1">
      <alignment horizontal="center" vertical="center"/>
    </xf>
    <xf numFmtId="4" fontId="10" fillId="0" borderId="61" xfId="5" applyNumberFormat="1" applyFont="1" applyBorder="1" applyAlignment="1">
      <alignment horizontal="center" vertical="center"/>
    </xf>
    <xf numFmtId="2" fontId="10" fillId="0" borderId="58" xfId="2" applyNumberFormat="1" applyFont="1" applyBorder="1" applyAlignment="1">
      <alignment horizontal="center" vertical="center"/>
    </xf>
    <xf numFmtId="2" fontId="10" fillId="0" borderId="53" xfId="2" applyNumberFormat="1" applyFont="1" applyBorder="1" applyAlignment="1">
      <alignment horizontal="center" vertical="center"/>
    </xf>
    <xf numFmtId="4" fontId="10" fillId="0" borderId="53" xfId="5" applyNumberFormat="1" applyFont="1" applyBorder="1" applyAlignment="1">
      <alignment horizontal="center" vertical="center"/>
    </xf>
    <xf numFmtId="0" fontId="59" fillId="0" borderId="0" xfId="0" applyFont="1"/>
    <xf numFmtId="0" fontId="60" fillId="0" borderId="0" xfId="0" applyFont="1"/>
    <xf numFmtId="0" fontId="59" fillId="5" borderId="0" xfId="0" applyFont="1" applyFill="1"/>
    <xf numFmtId="0" fontId="61" fillId="0" borderId="0" xfId="0" applyFont="1" applyAlignment="1">
      <alignment horizontal="left" indent="2"/>
    </xf>
    <xf numFmtId="0" fontId="59" fillId="2" borderId="0" xfId="0" applyFont="1" applyFill="1"/>
    <xf numFmtId="0" fontId="60" fillId="2" borderId="0" xfId="0" applyFont="1" applyFill="1"/>
    <xf numFmtId="0" fontId="60" fillId="5" borderId="0" xfId="0" applyFont="1" applyFill="1"/>
    <xf numFmtId="0" fontId="62" fillId="0" borderId="0" xfId="0" applyFont="1"/>
    <xf numFmtId="0" fontId="63"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6" fontId="4" fillId="2" borderId="5" xfId="0" applyNumberFormat="1" applyFont="1" applyFill="1" applyBorder="1" applyAlignment="1">
      <alignment horizontal="right"/>
    </xf>
    <xf numFmtId="171" fontId="11" fillId="0" borderId="0" xfId="0" applyNumberFormat="1" applyFont="1" applyAlignment="1">
      <alignment horizontal="right"/>
    </xf>
    <xf numFmtId="170" fontId="11" fillId="0" borderId="5" xfId="2" applyNumberFormat="1" applyFont="1" applyBorder="1" applyAlignment="1">
      <alignment horizontal="right"/>
    </xf>
    <xf numFmtId="171" fontId="11" fillId="0" borderId="5" xfId="2" applyNumberFormat="1" applyFont="1" applyBorder="1" applyAlignment="1">
      <alignment horizontal="right"/>
    </xf>
    <xf numFmtId="171" fontId="11" fillId="0" borderId="5" xfId="1" applyNumberFormat="1" applyFont="1" applyBorder="1" applyAlignment="1">
      <alignment horizontal="right"/>
    </xf>
    <xf numFmtId="3" fontId="11" fillId="0" borderId="5" xfId="0" applyNumberFormat="1" applyFont="1" applyBorder="1" applyAlignment="1">
      <alignment horizontal="right"/>
    </xf>
    <xf numFmtId="170" fontId="11" fillId="0" borderId="64"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51" xfId="0" applyNumberFormat="1" applyFont="1" applyBorder="1" applyAlignment="1">
      <alignment horizontal="right"/>
    </xf>
    <xf numFmtId="170" fontId="11" fillId="0" borderId="6" xfId="2" applyNumberFormat="1" applyFont="1" applyBorder="1" applyAlignment="1">
      <alignment horizontal="right"/>
    </xf>
    <xf numFmtId="3" fontId="11" fillId="0" borderId="51"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0" fontId="11" fillId="3" borderId="64" xfId="2" applyNumberFormat="1" applyFont="1" applyFill="1" applyBorder="1" applyAlignment="1">
      <alignment horizontal="right"/>
    </xf>
    <xf numFmtId="3" fontId="11" fillId="3" borderId="4" xfId="2" applyNumberFormat="1" applyFont="1" applyFill="1" applyBorder="1" applyAlignment="1">
      <alignment horizontal="right"/>
    </xf>
    <xf numFmtId="178" fontId="0" fillId="0" borderId="0" xfId="0" applyNumberFormat="1"/>
    <xf numFmtId="0" fontId="17" fillId="5" borderId="65" xfId="0" applyFont="1" applyFill="1" applyBorder="1"/>
    <xf numFmtId="0" fontId="17" fillId="5" borderId="66"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69" fontId="5" fillId="0" borderId="0" xfId="0" applyNumberFormat="1" applyFont="1"/>
    <xf numFmtId="170" fontId="13" fillId="5" borderId="27" xfId="2" applyNumberFormat="1" applyFont="1" applyFill="1" applyBorder="1"/>
    <xf numFmtId="170" fontId="12" fillId="5" borderId="28" xfId="2" applyNumberFormat="1" applyFont="1" applyFill="1" applyBorder="1"/>
    <xf numFmtId="170" fontId="12" fillId="5" borderId="29" xfId="2" applyNumberFormat="1" applyFont="1" applyFill="1" applyBorder="1"/>
    <xf numFmtId="170" fontId="13" fillId="5" borderId="28" xfId="2" applyNumberFormat="1" applyFont="1" applyFill="1" applyBorder="1"/>
    <xf numFmtId="1" fontId="34" fillId="5" borderId="25" xfId="0" applyNumberFormat="1" applyFont="1" applyFill="1" applyBorder="1" applyAlignment="1">
      <alignment horizontal="center"/>
    </xf>
    <xf numFmtId="10" fontId="12" fillId="5" borderId="25" xfId="2" applyNumberFormat="1" applyFont="1" applyFill="1" applyBorder="1" applyAlignment="1">
      <alignment horizontal="center"/>
    </xf>
    <xf numFmtId="10" fontId="35" fillId="5" borderId="25" xfId="0" applyNumberFormat="1" applyFont="1" applyFill="1" applyBorder="1" applyAlignment="1">
      <alignment horizontal="center"/>
    </xf>
    <xf numFmtId="10" fontId="36" fillId="5" borderId="25" xfId="0" applyNumberFormat="1" applyFont="1" applyFill="1" applyBorder="1" applyAlignment="1">
      <alignment horizontal="center"/>
    </xf>
    <xf numFmtId="10" fontId="34" fillId="5" borderId="25" xfId="0" applyNumberFormat="1" applyFont="1" applyFill="1" applyBorder="1" applyAlignment="1">
      <alignment horizontal="center"/>
    </xf>
    <xf numFmtId="10" fontId="35" fillId="5" borderId="25" xfId="2" applyNumberFormat="1" applyFont="1" applyFill="1" applyBorder="1" applyAlignment="1">
      <alignment horizontal="center"/>
    </xf>
    <xf numFmtId="10" fontId="0" fillId="0" borderId="8" xfId="2" applyNumberFormat="1" applyFont="1" applyBorder="1"/>
    <xf numFmtId="0" fontId="64" fillId="0" borderId="0" xfId="0" applyFont="1" applyAlignment="1">
      <alignment horizontal="left" vertical="top" indent="1"/>
    </xf>
    <xf numFmtId="0" fontId="8" fillId="0" borderId="0" xfId="5" applyFont="1"/>
    <xf numFmtId="171" fontId="11" fillId="0" borderId="50"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170" fontId="45" fillId="0" borderId="0" xfId="0" applyNumberFormat="1" applyFont="1"/>
    <xf numFmtId="170" fontId="45" fillId="0" borderId="26" xfId="0" applyNumberFormat="1" applyFont="1" applyBorder="1"/>
    <xf numFmtId="0" fontId="12" fillId="0" borderId="0" xfId="0" applyFont="1" applyAlignment="1">
      <alignment horizontal="left" indent="1"/>
    </xf>
    <xf numFmtId="3" fontId="45" fillId="0" borderId="0" xfId="0" applyNumberFormat="1" applyFont="1"/>
    <xf numFmtId="0" fontId="59" fillId="0" borderId="10" xfId="0" applyFont="1" applyBorder="1"/>
    <xf numFmtId="166" fontId="4" fillId="0" borderId="10" xfId="0" applyNumberFormat="1" applyFont="1" applyBorder="1"/>
    <xf numFmtId="168" fontId="0" fillId="0" borderId="10" xfId="1" applyNumberFormat="1" applyFont="1" applyFill="1" applyBorder="1" applyAlignment="1">
      <alignment horizontal="right"/>
    </xf>
    <xf numFmtId="0" fontId="0" fillId="0" borderId="10" xfId="0" applyBorder="1"/>
    <xf numFmtId="165" fontId="4" fillId="0" borderId="10" xfId="0" applyNumberFormat="1" applyFont="1" applyBorder="1"/>
    <xf numFmtId="0" fontId="66" fillId="0" borderId="0" xfId="3" applyFont="1" applyBorder="1" applyAlignment="1"/>
    <xf numFmtId="49" fontId="58" fillId="0" borderId="0" xfId="0" applyNumberFormat="1" applyFont="1"/>
    <xf numFmtId="0" fontId="0" fillId="0" borderId="45" xfId="0" applyBorder="1"/>
    <xf numFmtId="0" fontId="0" fillId="0" borderId="41" xfId="0" applyBorder="1"/>
    <xf numFmtId="0" fontId="0" fillId="0" borderId="13" xfId="0" applyBorder="1"/>
    <xf numFmtId="0" fontId="0" fillId="0" borderId="15" xfId="0" applyBorder="1"/>
    <xf numFmtId="172" fontId="12" fillId="0" borderId="0" xfId="0" applyNumberFormat="1" applyFont="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2" xfId="0" applyBorder="1"/>
    <xf numFmtId="0" fontId="17" fillId="0" borderId="0" xfId="0" applyFont="1"/>
    <xf numFmtId="2" fontId="0" fillId="0" borderId="0" xfId="0" applyNumberFormat="1" applyAlignment="1">
      <alignment horizontal="center"/>
    </xf>
    <xf numFmtId="2" fontId="0" fillId="0" borderId="15" xfId="0" applyNumberFormat="1" applyBorder="1" applyAlignment="1">
      <alignment horizontal="center"/>
    </xf>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79" fontId="0" fillId="0" borderId="0" xfId="0" applyNumberFormat="1"/>
    <xf numFmtId="0" fontId="17" fillId="0" borderId="9" xfId="0" applyFont="1" applyBorder="1"/>
    <xf numFmtId="0" fontId="0" fillId="0" borderId="0" xfId="0" applyAlignment="1">
      <alignment horizontal="left" vertical="top" wrapText="1"/>
    </xf>
    <xf numFmtId="37" fontId="27" fillId="0" borderId="0" xfId="8" applyNumberFormat="1" applyFont="1" applyAlignment="1">
      <alignment horizontal="center"/>
    </xf>
    <xf numFmtId="37" fontId="31" fillId="0" borderId="0" xfId="8" applyNumberFormat="1" applyFont="1" applyAlignment="1">
      <alignment horizontal="center" wrapText="1"/>
    </xf>
    <xf numFmtId="37" fontId="31" fillId="0" borderId="0" xfId="5" applyNumberFormat="1" applyFont="1" applyAlignment="1">
      <alignment horizontal="center"/>
    </xf>
    <xf numFmtId="37" fontId="27" fillId="0" borderId="17" xfId="8" applyNumberFormat="1" applyFont="1" applyBorder="1" applyAlignment="1">
      <alignment horizontal="center"/>
    </xf>
    <xf numFmtId="0" fontId="10" fillId="2" borderId="44" xfId="5" applyFont="1" applyFill="1" applyBorder="1"/>
    <xf numFmtId="0" fontId="10" fillId="5" borderId="17" xfId="5" applyFont="1" applyFill="1" applyBorder="1"/>
    <xf numFmtId="37" fontId="31" fillId="3" borderId="43" xfId="8" applyNumberFormat="1" applyFont="1" applyFill="1" applyBorder="1" applyAlignment="1">
      <alignment horizontal="center" wrapText="1"/>
    </xf>
    <xf numFmtId="0" fontId="10" fillId="2" borderId="43" xfId="5" applyFont="1" applyFill="1" applyBorder="1"/>
    <xf numFmtId="0" fontId="10" fillId="5" borderId="43" xfId="5" applyFont="1" applyFill="1" applyBorder="1"/>
    <xf numFmtId="0" fontId="55" fillId="2" borderId="17" xfId="5" applyFont="1" applyFill="1" applyBorder="1" applyAlignment="1">
      <alignment horizontal="center" vertical="center" wrapText="1"/>
    </xf>
    <xf numFmtId="0" fontId="56" fillId="5" borderId="17" xfId="5" applyFont="1" applyFill="1" applyBorder="1"/>
    <xf numFmtId="37" fontId="31" fillId="3" borderId="73" xfId="8" applyNumberFormat="1" applyFont="1" applyFill="1" applyBorder="1" applyAlignment="1">
      <alignment horizontal="center"/>
    </xf>
    <xf numFmtId="37" fontId="31" fillId="3" borderId="17" xfId="8" applyNumberFormat="1" applyFont="1" applyFill="1" applyBorder="1" applyAlignment="1">
      <alignment horizontal="center"/>
    </xf>
    <xf numFmtId="37" fontId="31" fillId="3" borderId="17" xfId="8" applyNumberFormat="1" applyFont="1" applyFill="1" applyBorder="1" applyAlignment="1">
      <alignment horizontal="center" wrapText="1"/>
    </xf>
    <xf numFmtId="37" fontId="2" fillId="0" borderId="17" xfId="8" applyNumberFormat="1" applyFont="1" applyBorder="1" applyAlignment="1">
      <alignment horizontal="center" wrapText="1"/>
    </xf>
    <xf numFmtId="1" fontId="27" fillId="0" borderId="17" xfId="8" applyNumberFormat="1" applyFont="1" applyBorder="1" applyAlignment="1">
      <alignment horizontal="center" wrapText="1"/>
    </xf>
    <xf numFmtId="0" fontId="10" fillId="2" borderId="17" xfId="5" applyFont="1" applyFill="1" applyBorder="1"/>
    <xf numFmtId="0" fontId="55" fillId="2" borderId="43" xfId="5" applyFont="1" applyFill="1" applyBorder="1" applyAlignment="1">
      <alignment horizontal="center" vertical="center" wrapText="1"/>
    </xf>
    <xf numFmtId="0" fontId="56" fillId="5" borderId="43" xfId="5" applyFont="1" applyFill="1" applyBorder="1"/>
    <xf numFmtId="37" fontId="31" fillId="3" borderId="74" xfId="8" applyNumberFormat="1" applyFont="1" applyFill="1" applyBorder="1" applyAlignment="1">
      <alignment horizontal="center"/>
    </xf>
    <xf numFmtId="37" fontId="31" fillId="3" borderId="43" xfId="8" applyNumberFormat="1" applyFont="1" applyFill="1" applyBorder="1" applyAlignment="1">
      <alignment horizontal="center"/>
    </xf>
    <xf numFmtId="39" fontId="31" fillId="3" borderId="43" xfId="8" applyNumberFormat="1" applyFont="1" applyFill="1" applyBorder="1" applyAlignment="1">
      <alignment horizontal="center" wrapText="1"/>
    </xf>
    <xf numFmtId="1" fontId="27" fillId="0" borderId="43" xfId="8" applyNumberFormat="1" applyFont="1" applyBorder="1" applyAlignment="1">
      <alignment horizontal="center" wrapText="1"/>
    </xf>
    <xf numFmtId="37" fontId="7" fillId="0" borderId="43" xfId="8" applyNumberFormat="1" applyFont="1" applyBorder="1" applyAlignment="1">
      <alignment horizontal="center"/>
    </xf>
    <xf numFmtId="37" fontId="7" fillId="3" borderId="43" xfId="8" applyNumberFormat="1" applyFont="1" applyFill="1" applyBorder="1" applyAlignment="1">
      <alignment horizontal="center" wrapText="1"/>
    </xf>
    <xf numFmtId="168" fontId="10" fillId="0" borderId="0" xfId="5" applyNumberFormat="1" applyFont="1" applyAlignment="1">
      <alignment horizontal="center"/>
    </xf>
    <xf numFmtId="10" fontId="10" fillId="0" borderId="0" xfId="2" applyNumberFormat="1" applyFont="1" applyAlignment="1">
      <alignment horizontal="center"/>
    </xf>
    <xf numFmtId="2" fontId="10" fillId="0" borderId="0" xfId="2" applyNumberFormat="1" applyFont="1" applyAlignment="1">
      <alignment horizontal="center"/>
    </xf>
    <xf numFmtId="0" fontId="19" fillId="8" borderId="0" xfId="5" applyFont="1" applyFill="1" applyAlignment="1">
      <alignment horizontal="center" vertical="center"/>
    </xf>
    <xf numFmtId="0" fontId="67" fillId="13" borderId="0" xfId="0" applyFont="1" applyFill="1"/>
    <xf numFmtId="0" fontId="68" fillId="13" borderId="0" xfId="0" applyFont="1" applyFill="1"/>
    <xf numFmtId="0" fontId="68" fillId="14"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2" fillId="0" borderId="8" xfId="0" applyFont="1" applyBorder="1"/>
    <xf numFmtId="10" fontId="2" fillId="0" borderId="0" xfId="0" applyNumberFormat="1" applyFont="1"/>
    <xf numFmtId="0" fontId="2" fillId="0" borderId="0" xfId="0" applyFont="1" applyAlignment="1">
      <alignment indent="1"/>
    </xf>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5" fontId="4" fillId="0" borderId="0" xfId="0" applyNumberFormat="1" applyFont="1"/>
    <xf numFmtId="0" fontId="3" fillId="0" borderId="0" xfId="0" applyFont="1" applyAlignment="1">
      <alignment vertical="center"/>
    </xf>
    <xf numFmtId="170" fontId="12" fillId="0" borderId="0" xfId="4" applyNumberFormat="1" applyFont="1" applyAlignment="1"/>
    <xf numFmtId="0" fontId="28" fillId="2" borderId="0" xfId="5" applyFont="1" applyFill="1"/>
    <xf numFmtId="1" fontId="14" fillId="0" borderId="0" xfId="5" applyNumberFormat="1" applyAlignment="1">
      <alignment vertical="center"/>
    </xf>
    <xf numFmtId="0" fontId="69" fillId="0" borderId="0" xfId="0" applyFont="1"/>
    <xf numFmtId="0" fontId="70" fillId="0" borderId="9" xfId="0" applyFont="1" applyBorder="1"/>
    <xf numFmtId="0" fontId="0" fillId="0" borderId="75" xfId="0" applyBorder="1"/>
    <xf numFmtId="0" fontId="3" fillId="0" borderId="12" xfId="0" applyFont="1" applyBorder="1" applyAlignment="1">
      <alignment horizontal="center"/>
    </xf>
    <xf numFmtId="1" fontId="0" fillId="0" borderId="15" xfId="2" applyNumberFormat="1" applyFont="1" applyBorder="1"/>
    <xf numFmtId="1" fontId="2" fillId="0" borderId="14" xfId="2" applyNumberFormat="1" applyFont="1" applyBorder="1"/>
    <xf numFmtId="1" fontId="2" fillId="0" borderId="16" xfId="2" applyNumberFormat="1" applyFont="1" applyBorder="1"/>
    <xf numFmtId="1" fontId="2" fillId="0" borderId="14" xfId="2" applyNumberFormat="1" applyFont="1" applyFill="1" applyBorder="1"/>
    <xf numFmtId="0" fontId="16" fillId="5" borderId="0" xfId="0" applyFont="1" applyFill="1" applyAlignment="1">
      <alignment vertical="center"/>
    </xf>
    <xf numFmtId="0" fontId="71" fillId="0" borderId="0" xfId="0" applyFont="1"/>
    <xf numFmtId="176" fontId="0" fillId="0" borderId="16" xfId="0" applyNumberFormat="1" applyBorder="1"/>
    <xf numFmtId="0" fontId="17" fillId="5" borderId="0" xfId="0" applyFont="1" applyFill="1"/>
    <xf numFmtId="10" fontId="0" fillId="0" borderId="14" xfId="2" applyNumberFormat="1" applyFont="1" applyFill="1" applyBorder="1"/>
    <xf numFmtId="170" fontId="0" fillId="0" borderId="0" xfId="2" applyNumberFormat="1" applyFont="1" applyAlignment="1">
      <alignment horizontal="center"/>
    </xf>
    <xf numFmtId="170" fontId="0" fillId="0" borderId="15" xfId="2" applyNumberFormat="1" applyFont="1" applyBorder="1" applyAlignment="1">
      <alignment horizontal="center"/>
    </xf>
    <xf numFmtId="170" fontId="0" fillId="0" borderId="15" xfId="2" applyNumberFormat="1" applyFont="1" applyBorder="1"/>
    <xf numFmtId="171"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180" fontId="6" fillId="2" borderId="0" xfId="0" applyNumberFormat="1" applyFont="1" applyFill="1" applyAlignment="1">
      <alignment horizontal="right"/>
    </xf>
    <xf numFmtId="0" fontId="2" fillId="0" borderId="0" xfId="0" applyFont="1" applyAlignment="1">
      <alignment horizontal="center"/>
    </xf>
    <xf numFmtId="176"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176" fontId="0" fillId="0" borderId="15" xfId="0" applyNumberFormat="1" applyBorder="1"/>
    <xf numFmtId="0" fontId="3" fillId="0" borderId="14" xfId="0" applyFont="1" applyBorder="1"/>
    <xf numFmtId="176" fontId="3" fillId="0" borderId="0" xfId="0" applyNumberFormat="1" applyFont="1"/>
    <xf numFmtId="170" fontId="2" fillId="0" borderId="0" xfId="2" applyNumberFormat="1" applyFont="1"/>
    <xf numFmtId="0" fontId="0" fillId="3" borderId="24" xfId="2" applyNumberFormat="1" applyFont="1" applyFill="1" applyBorder="1"/>
    <xf numFmtId="39" fontId="27" fillId="3" borderId="0" xfId="0" applyNumberFormat="1" applyFont="1" applyFill="1" applyAlignment="1">
      <alignment horizontal="right"/>
    </xf>
    <xf numFmtId="181" fontId="27" fillId="3" borderId="0" xfId="0" applyNumberFormat="1" applyFont="1" applyFill="1" applyAlignment="1">
      <alignment horizontal="right"/>
    </xf>
    <xf numFmtId="0" fontId="73" fillId="15" borderId="0" xfId="0" applyFont="1" applyFill="1"/>
    <xf numFmtId="0" fontId="74" fillId="15" borderId="41" xfId="0" applyFont="1" applyFill="1" applyBorder="1" applyAlignment="1">
      <alignment readingOrder="1"/>
    </xf>
    <xf numFmtId="0" fontId="74" fillId="15" borderId="0" xfId="0" applyFont="1" applyFill="1" applyAlignment="1">
      <alignment readingOrder="1"/>
    </xf>
    <xf numFmtId="0" fontId="75" fillId="16" borderId="0" xfId="0" applyFont="1" applyFill="1"/>
    <xf numFmtId="0" fontId="76" fillId="15" borderId="77" xfId="0" applyFont="1" applyFill="1" applyBorder="1"/>
    <xf numFmtId="0" fontId="76" fillId="15" borderId="78" xfId="0" applyFont="1" applyFill="1" applyBorder="1"/>
    <xf numFmtId="0" fontId="76" fillId="15" borderId="42" xfId="0" applyFont="1" applyFill="1" applyBorder="1"/>
    <xf numFmtId="0" fontId="76" fillId="15" borderId="79" xfId="0" applyFont="1" applyFill="1" applyBorder="1"/>
    <xf numFmtId="14" fontId="76" fillId="15" borderId="79" xfId="0" applyNumberFormat="1" applyFont="1" applyFill="1" applyBorder="1"/>
    <xf numFmtId="0" fontId="77" fillId="16" borderId="80" xfId="0" applyFont="1" applyFill="1" applyBorder="1"/>
    <xf numFmtId="0" fontId="77" fillId="16" borderId="17" xfId="0" applyFont="1" applyFill="1" applyBorder="1"/>
    <xf numFmtId="0" fontId="78" fillId="16" borderId="80" xfId="0" applyFont="1" applyFill="1" applyBorder="1"/>
    <xf numFmtId="0" fontId="79" fillId="16" borderId="43" xfId="0" applyFont="1" applyFill="1" applyBorder="1"/>
    <xf numFmtId="3" fontId="79" fillId="16" borderId="43" xfId="0" applyNumberFormat="1" applyFont="1" applyFill="1" applyBorder="1"/>
    <xf numFmtId="0" fontId="79" fillId="16" borderId="17" xfId="0" applyFont="1" applyFill="1" applyBorder="1"/>
    <xf numFmtId="3" fontId="79" fillId="16" borderId="17" xfId="0" applyNumberFormat="1" applyFont="1" applyFill="1" applyBorder="1"/>
    <xf numFmtId="0" fontId="77" fillId="16" borderId="43" xfId="0" applyFont="1" applyFill="1" applyBorder="1"/>
    <xf numFmtId="3" fontId="77" fillId="16" borderId="43" xfId="0" applyNumberFormat="1" applyFont="1" applyFill="1" applyBorder="1"/>
    <xf numFmtId="3" fontId="77" fillId="16" borderId="17" xfId="0" applyNumberFormat="1" applyFont="1" applyFill="1" applyBorder="1"/>
    <xf numFmtId="0" fontId="80" fillId="16" borderId="80" xfId="0" applyFont="1" applyFill="1" applyBorder="1"/>
    <xf numFmtId="0" fontId="81" fillId="16" borderId="43" xfId="0" applyFont="1" applyFill="1" applyBorder="1"/>
    <xf numFmtId="0" fontId="81" fillId="16" borderId="17" xfId="0" applyFont="1" applyFill="1" applyBorder="1"/>
    <xf numFmtId="3" fontId="81" fillId="16" borderId="17" xfId="0" applyNumberFormat="1" applyFont="1" applyFill="1" applyBorder="1"/>
    <xf numFmtId="3" fontId="81" fillId="16" borderId="43" xfId="0" applyNumberFormat="1" applyFont="1" applyFill="1" applyBorder="1"/>
    <xf numFmtId="0" fontId="81" fillId="17" borderId="45" xfId="0" applyFont="1" applyFill="1" applyBorder="1"/>
    <xf numFmtId="0" fontId="81" fillId="17" borderId="0" xfId="0" applyFont="1" applyFill="1"/>
    <xf numFmtId="0" fontId="77" fillId="18" borderId="17" xfId="0" applyFont="1" applyFill="1" applyBorder="1"/>
    <xf numFmtId="3" fontId="77" fillId="18" borderId="17" xfId="0" applyNumberFormat="1" applyFont="1" applyFill="1" applyBorder="1"/>
    <xf numFmtId="0" fontId="79" fillId="18" borderId="17" xfId="0" applyFont="1" applyFill="1" applyBorder="1"/>
    <xf numFmtId="3" fontId="79" fillId="18" borderId="17" xfId="0" applyNumberFormat="1" applyFont="1" applyFill="1" applyBorder="1"/>
    <xf numFmtId="0" fontId="81" fillId="18" borderId="17" xfId="0" applyFont="1" applyFill="1" applyBorder="1"/>
    <xf numFmtId="3" fontId="81" fillId="18" borderId="17" xfId="0" applyNumberFormat="1" applyFont="1" applyFill="1" applyBorder="1"/>
    <xf numFmtId="4" fontId="79" fillId="16" borderId="17" xfId="0" applyNumberFormat="1" applyFont="1" applyFill="1" applyBorder="1"/>
    <xf numFmtId="4" fontId="79" fillId="18" borderId="17" xfId="0" applyNumberFormat="1" applyFont="1" applyFill="1" applyBorder="1"/>
    <xf numFmtId="0" fontId="80" fillId="0" borderId="0" xfId="0" applyFont="1"/>
    <xf numFmtId="0" fontId="82" fillId="0" borderId="0" xfId="0" applyFont="1"/>
    <xf numFmtId="0" fontId="64" fillId="0" borderId="8" xfId="0" applyFont="1" applyBorder="1" applyAlignment="1">
      <alignment horizontal="left" vertical="top" indent="1"/>
    </xf>
    <xf numFmtId="37" fontId="0" fillId="3" borderId="0" xfId="0" applyNumberFormat="1" applyFill="1" applyAlignment="1">
      <alignment horizontal="right" vertical="center"/>
    </xf>
    <xf numFmtId="37" fontId="0" fillId="3" borderId="0" xfId="0" applyNumberFormat="1" applyFill="1" applyAlignment="1">
      <alignment horizontal="right"/>
    </xf>
    <xf numFmtId="0" fontId="0" fillId="7" borderId="0" xfId="0" applyFill="1"/>
    <xf numFmtId="37" fontId="31" fillId="7" borderId="0" xfId="0" applyNumberFormat="1" applyFont="1" applyFill="1" applyAlignment="1">
      <alignment horizontal="right"/>
    </xf>
    <xf numFmtId="172" fontId="35" fillId="0" borderId="0" xfId="0" applyNumberFormat="1" applyFont="1"/>
    <xf numFmtId="172" fontId="35" fillId="5" borderId="0" xfId="1" applyNumberFormat="1" applyFont="1" applyFill="1"/>
    <xf numFmtId="172" fontId="35" fillId="4" borderId="0" xfId="0" applyNumberFormat="1" applyFont="1" applyFill="1"/>
    <xf numFmtId="176" fontId="35" fillId="0" borderId="0" xfId="0" applyNumberFormat="1" applyFont="1"/>
    <xf numFmtId="10" fontId="30" fillId="0" borderId="0" xfId="0" applyNumberFormat="1" applyFont="1"/>
    <xf numFmtId="10" fontId="34" fillId="5" borderId="0" xfId="2" applyNumberFormat="1" applyFont="1" applyFill="1"/>
    <xf numFmtId="10" fontId="35" fillId="0" borderId="0" xfId="2" applyNumberFormat="1" applyFont="1"/>
    <xf numFmtId="182" fontId="12" fillId="0" borderId="0" xfId="0" applyNumberFormat="1" applyFont="1"/>
    <xf numFmtId="10" fontId="34" fillId="0" borderId="0" xfId="2" applyNumberFormat="1" applyFont="1"/>
    <xf numFmtId="0" fontId="87" fillId="0" borderId="0" xfId="0" applyFont="1" applyAlignment="1">
      <alignment horizontal="center" vertical="center" wrapText="1"/>
    </xf>
    <xf numFmtId="10" fontId="0" fillId="0" borderId="0" xfId="2" applyNumberFormat="1" applyFont="1" applyBorder="1" applyAlignment="1">
      <alignment horizontal="center"/>
    </xf>
    <xf numFmtId="10" fontId="0" fillId="0" borderId="22" xfId="2" applyNumberFormat="1" applyFont="1" applyBorder="1" applyAlignment="1">
      <alignment horizontal="center"/>
    </xf>
    <xf numFmtId="10" fontId="36" fillId="0" borderId="0" xfId="2" applyNumberFormat="1" applyFont="1"/>
    <xf numFmtId="37" fontId="9" fillId="0" borderId="0" xfId="3" applyNumberFormat="1"/>
    <xf numFmtId="0" fontId="9" fillId="0" borderId="0" xfId="3" applyAlignment="1">
      <alignment horizontal="left" indent="1"/>
    </xf>
    <xf numFmtId="10" fontId="35" fillId="0" borderId="0" xfId="2" applyNumberFormat="1" applyFont="1" applyAlignment="1">
      <alignment horizontal="right"/>
    </xf>
    <xf numFmtId="0" fontId="78" fillId="0" borderId="80" xfId="0" applyFont="1" applyBorder="1"/>
    <xf numFmtId="3" fontId="79" fillId="0" borderId="43" xfId="0" applyNumberFormat="1" applyFont="1" applyBorder="1"/>
    <xf numFmtId="3" fontId="79" fillId="0" borderId="17" xfId="0" applyNumberFormat="1" applyFont="1" applyBorder="1"/>
    <xf numFmtId="0" fontId="0" fillId="0" borderId="0" xfId="0" applyAlignment="1">
      <alignment vertical="center"/>
    </xf>
    <xf numFmtId="0" fontId="13" fillId="0" borderId="0" xfId="0" applyFont="1" applyAlignment="1">
      <alignment horizontal="left" indent="2"/>
    </xf>
    <xf numFmtId="1" fontId="10" fillId="0" borderId="0" xfId="0" applyNumberFormat="1" applyFont="1"/>
    <xf numFmtId="1" fontId="10" fillId="0" borderId="0" xfId="0" applyNumberFormat="1" applyFont="1" applyAlignment="1">
      <alignment horizontal="right"/>
    </xf>
    <xf numFmtId="37" fontId="46" fillId="0" borderId="0" xfId="0" applyNumberFormat="1" applyFont="1" applyAlignment="1">
      <alignment horizontal="right"/>
    </xf>
    <xf numFmtId="37" fontId="27" fillId="0" borderId="0" xfId="0" applyNumberFormat="1" applyFont="1" applyAlignment="1">
      <alignment horizontal="right"/>
    </xf>
    <xf numFmtId="37" fontId="45" fillId="0" borderId="0" xfId="0" applyNumberFormat="1" applyFont="1" applyAlignment="1">
      <alignment horizontal="right"/>
    </xf>
    <xf numFmtId="172" fontId="13" fillId="0" borderId="81" xfId="0" applyNumberFormat="1" applyFont="1" applyBorder="1"/>
    <xf numFmtId="172" fontId="13" fillId="0" borderId="82" xfId="0" applyNumberFormat="1" applyFont="1" applyBorder="1"/>
    <xf numFmtId="172" fontId="13" fillId="0" borderId="83" xfId="0" applyNumberFormat="1" applyFont="1" applyBorder="1"/>
    <xf numFmtId="10" fontId="35" fillId="0" borderId="17" xfId="2" applyNumberFormat="1" applyFont="1" applyBorder="1"/>
    <xf numFmtId="3" fontId="36" fillId="0" borderId="17" xfId="0" applyNumberFormat="1" applyFont="1" applyBorder="1"/>
    <xf numFmtId="3" fontId="45" fillId="0" borderId="17" xfId="0" applyNumberFormat="1" applyFont="1" applyBorder="1"/>
    <xf numFmtId="10" fontId="36" fillId="0" borderId="17" xfId="2" applyNumberFormat="1" applyFont="1" applyBorder="1"/>
    <xf numFmtId="0" fontId="88" fillId="0" borderId="0" xfId="0" applyFont="1"/>
    <xf numFmtId="0" fontId="89" fillId="0" borderId="0" xfId="0" applyFont="1"/>
    <xf numFmtId="0" fontId="79" fillId="0" borderId="0" xfId="0" applyFont="1"/>
    <xf numFmtId="3" fontId="79" fillId="0" borderId="0" xfId="0" applyNumberFormat="1" applyFont="1"/>
    <xf numFmtId="0" fontId="79" fillId="16" borderId="0" xfId="0" applyFont="1" applyFill="1"/>
    <xf numFmtId="3" fontId="79" fillId="16" borderId="0" xfId="0" applyNumberFormat="1" applyFont="1" applyFill="1"/>
    <xf numFmtId="0" fontId="4" fillId="2" borderId="61" xfId="5" applyFont="1" applyFill="1" applyBorder="1" applyAlignment="1">
      <alignment horizontal="center"/>
    </xf>
    <xf numFmtId="0" fontId="4" fillId="2" borderId="58" xfId="5" applyFont="1" applyFill="1" applyBorder="1" applyAlignment="1">
      <alignment horizontal="center"/>
    </xf>
    <xf numFmtId="0" fontId="4" fillId="2" borderId="53" xfId="5" applyFont="1" applyFill="1" applyBorder="1" applyAlignment="1">
      <alignment horizontal="center"/>
    </xf>
    <xf numFmtId="183" fontId="47" fillId="5" borderId="0" xfId="2" applyNumberFormat="1" applyFont="1" applyFill="1"/>
    <xf numFmtId="184" fontId="36" fillId="0" borderId="0" xfId="1" applyNumberFormat="1" applyFont="1" applyFill="1"/>
    <xf numFmtId="179" fontId="48" fillId="0" borderId="0" xfId="2" applyNumberFormat="1" applyFont="1" applyFill="1"/>
    <xf numFmtId="184" fontId="36" fillId="0" borderId="26" xfId="1" applyNumberFormat="1" applyFont="1" applyFill="1" applyBorder="1"/>
    <xf numFmtId="184" fontId="12" fillId="0" borderId="0" xfId="1" applyNumberFormat="1" applyFont="1" applyFill="1" applyBorder="1"/>
    <xf numFmtId="183" fontId="48" fillId="0" borderId="0" xfId="2" applyNumberFormat="1" applyFont="1" applyFill="1"/>
    <xf numFmtId="183" fontId="48" fillId="0" borderId="26" xfId="2" applyNumberFormat="1" applyFont="1" applyFill="1" applyBorder="1"/>
    <xf numFmtId="166" fontId="4" fillId="0" borderId="0" xfId="0" applyNumberFormat="1" applyFont="1"/>
    <xf numFmtId="0" fontId="11" fillId="0" borderId="0" xfId="0" applyFont="1"/>
    <xf numFmtId="3" fontId="11" fillId="0" borderId="0" xfId="1" applyNumberFormat="1" applyFont="1" applyFill="1" applyAlignment="1">
      <alignment horizontal="right"/>
    </xf>
    <xf numFmtId="4" fontId="11" fillId="0" borderId="0" xfId="1" applyNumberFormat="1" applyFont="1" applyFill="1" applyBorder="1" applyAlignment="1">
      <alignment horizontal="right"/>
    </xf>
    <xf numFmtId="4" fontId="11" fillId="0" borderId="0" xfId="1" applyNumberFormat="1" applyFont="1" applyFill="1" applyAlignment="1">
      <alignment horizontal="right"/>
    </xf>
    <xf numFmtId="10" fontId="11" fillId="0" borderId="0" xfId="1" applyNumberFormat="1" applyFont="1" applyFill="1" applyBorder="1" applyAlignment="1">
      <alignment horizontal="right"/>
    </xf>
    <xf numFmtId="10" fontId="11" fillId="0" borderId="0" xfId="1" applyNumberFormat="1" applyFont="1" applyFill="1" applyAlignment="1">
      <alignment horizontal="right"/>
    </xf>
    <xf numFmtId="1" fontId="31" fillId="3" borderId="0" xfId="0" applyNumberFormat="1" applyFont="1" applyFill="1" applyAlignment="1">
      <alignment horizontal="right"/>
    </xf>
    <xf numFmtId="0" fontId="78" fillId="19" borderId="80" xfId="0" applyFont="1" applyFill="1" applyBorder="1"/>
    <xf numFmtId="183" fontId="0" fillId="3" borderId="24" xfId="2" applyNumberFormat="1" applyFont="1" applyFill="1" applyBorder="1"/>
    <xf numFmtId="172" fontId="20" fillId="0" borderId="0" xfId="0" applyNumberFormat="1" applyFont="1"/>
    <xf numFmtId="14" fontId="9" fillId="0" borderId="11" xfId="3" applyNumberFormat="1" applyBorder="1"/>
    <xf numFmtId="0" fontId="0" fillId="0" borderId="11" xfId="0" applyBorder="1"/>
    <xf numFmtId="0" fontId="10" fillId="0" borderId="0" xfId="3" applyFont="1"/>
    <xf numFmtId="0" fontId="19" fillId="7" borderId="0" xfId="5" applyFont="1" applyFill="1" applyAlignment="1">
      <alignment vertical="center"/>
    </xf>
    <xf numFmtId="1" fontId="3" fillId="6" borderId="11" xfId="0" applyNumberFormat="1" applyFont="1" applyFill="1" applyBorder="1"/>
    <xf numFmtId="0" fontId="14" fillId="0" borderId="0" xfId="5" applyAlignment="1">
      <alignment horizontal="right" vertical="center"/>
    </xf>
    <xf numFmtId="173" fontId="3" fillId="7" borderId="0" xfId="0" applyNumberFormat="1" applyFont="1" applyFill="1"/>
    <xf numFmtId="0" fontId="3" fillId="9" borderId="0" xfId="0" applyFont="1" applyFill="1" applyAlignment="1">
      <alignment horizontal="right"/>
    </xf>
    <xf numFmtId="9" fontId="3" fillId="0" borderId="0" xfId="0" applyNumberFormat="1" applyFont="1" applyAlignment="1">
      <alignment horizontal="right"/>
    </xf>
    <xf numFmtId="0" fontId="0" fillId="0" borderId="0" xfId="0" applyAlignment="1">
      <alignment vertical="center" wrapText="1"/>
    </xf>
    <xf numFmtId="0" fontId="0" fillId="0" borderId="0" xfId="0" applyAlignment="1">
      <alignment vertical="top" wrapText="1"/>
    </xf>
    <xf numFmtId="0" fontId="14" fillId="0" borderId="0" xfId="5" applyAlignment="1">
      <alignment vertical="center" wrapText="1"/>
    </xf>
    <xf numFmtId="0" fontId="0" fillId="0" borderId="11" xfId="0" applyBorder="1" applyAlignment="1">
      <alignment vertical="top" wrapText="1"/>
    </xf>
    <xf numFmtId="1" fontId="3" fillId="8" borderId="11" xfId="0" applyNumberFormat="1" applyFont="1" applyFill="1" applyBorder="1" applyAlignment="1">
      <alignment horizontal="right"/>
    </xf>
    <xf numFmtId="1" fontId="14" fillId="0" borderId="0" xfId="5" applyNumberFormat="1" applyAlignment="1">
      <alignment horizontal="right" vertical="center"/>
    </xf>
    <xf numFmtId="173" fontId="3" fillId="9" borderId="0" xfId="0" applyNumberFormat="1" applyFont="1" applyFill="1" applyAlignment="1">
      <alignment horizontal="right"/>
    </xf>
    <xf numFmtId="0" fontId="19" fillId="0" borderId="0" xfId="5" applyFont="1" applyAlignment="1">
      <alignment horizontal="right" vertical="center"/>
    </xf>
    <xf numFmtId="0" fontId="92" fillId="0" borderId="0" xfId="0" applyFont="1"/>
    <xf numFmtId="0" fontId="88" fillId="0" borderId="9" xfId="0" applyFont="1" applyBorder="1"/>
    <xf numFmtId="0" fontId="88" fillId="0" borderId="84" xfId="0" applyFont="1" applyBorder="1"/>
    <xf numFmtId="0" fontId="82" fillId="0" borderId="9" xfId="0" applyFont="1" applyBorder="1"/>
    <xf numFmtId="3" fontId="82" fillId="0" borderId="9" xfId="0" applyNumberFormat="1" applyFont="1" applyBorder="1"/>
    <xf numFmtId="0" fontId="88" fillId="0" borderId="80" xfId="0" applyFont="1" applyBorder="1"/>
    <xf numFmtId="3" fontId="82" fillId="0" borderId="0" xfId="0" applyNumberFormat="1" applyFont="1"/>
    <xf numFmtId="0" fontId="88" fillId="0" borderId="85" xfId="0" applyFont="1" applyBorder="1"/>
    <xf numFmtId="0" fontId="77" fillId="0" borderId="80" xfId="0" applyFont="1" applyBorder="1"/>
    <xf numFmtId="0" fontId="93" fillId="0" borderId="80" xfId="0" applyFont="1" applyBorder="1"/>
    <xf numFmtId="14" fontId="0" fillId="0" borderId="0" xfId="0" applyNumberFormat="1"/>
    <xf numFmtId="0" fontId="0" fillId="0" borderId="0" xfId="0" applyAlignment="1">
      <alignment wrapText="1"/>
    </xf>
    <xf numFmtId="0" fontId="18" fillId="0" borderId="8" xfId="0" applyFont="1" applyBorder="1"/>
    <xf numFmtId="0" fontId="13" fillId="0" borderId="0" xfId="0" applyFont="1" applyAlignment="1">
      <alignment horizontal="left" vertical="top" wrapText="1"/>
    </xf>
    <xf numFmtId="0" fontId="10" fillId="0" borderId="0" xfId="5" applyFont="1" applyAlignment="1">
      <alignment horizontal="left"/>
    </xf>
    <xf numFmtId="2" fontId="48" fillId="0" borderId="0" xfId="2" applyNumberFormat="1" applyFont="1"/>
    <xf numFmtId="2" fontId="48" fillId="0" borderId="0" xfId="2" applyNumberFormat="1" applyFont="1" applyFill="1"/>
    <xf numFmtId="2" fontId="48" fillId="0" borderId="26" xfId="2" applyNumberFormat="1" applyFont="1" applyBorder="1"/>
    <xf numFmtId="170" fontId="48" fillId="0" borderId="26" xfId="0" applyNumberFormat="1" applyFont="1" applyBorder="1"/>
    <xf numFmtId="0" fontId="35" fillId="0" borderId="0" xfId="0" applyFont="1" applyAlignment="1">
      <alignment horizontal="left" indent="1"/>
    </xf>
    <xf numFmtId="0" fontId="41" fillId="0" borderId="0" xfId="0" applyFont="1" applyAlignment="1">
      <alignment horizontal="left" indent="2"/>
    </xf>
    <xf numFmtId="0" fontId="12" fillId="20" borderId="0" xfId="0" applyFont="1" applyFill="1" applyAlignment="1">
      <alignment horizontal="left"/>
    </xf>
    <xf numFmtId="3" fontId="13" fillId="20" borderId="0" xfId="0" applyNumberFormat="1" applyFont="1" applyFill="1" applyAlignment="1">
      <alignment horizontal="left"/>
    </xf>
    <xf numFmtId="170" fontId="12" fillId="20" borderId="0" xfId="4" applyNumberFormat="1" applyFont="1" applyFill="1" applyBorder="1" applyAlignment="1">
      <alignment horizontal="left"/>
    </xf>
    <xf numFmtId="0" fontId="13" fillId="20" borderId="0" xfId="0" applyFont="1" applyFill="1" applyAlignment="1">
      <alignment horizontal="left"/>
    </xf>
    <xf numFmtId="170" fontId="94" fillId="0" borderId="0" xfId="2" applyNumberFormat="1" applyFont="1" applyFill="1"/>
    <xf numFmtId="170" fontId="40" fillId="0" borderId="0" xfId="0" applyNumberFormat="1" applyFont="1"/>
    <xf numFmtId="0" fontId="2" fillId="0" borderId="76" xfId="0" applyFont="1" applyBorder="1" applyAlignment="1">
      <alignment horizontal="center"/>
    </xf>
    <xf numFmtId="0" fontId="2" fillId="0" borderId="0" xfId="0" applyFont="1" applyAlignment="1">
      <alignment horizontal="center"/>
    </xf>
    <xf numFmtId="0" fontId="7" fillId="0" borderId="0" xfId="0" applyFont="1" applyAlignment="1">
      <alignment horizontal="left" vertical="top" wrapText="1"/>
    </xf>
    <xf numFmtId="0" fontId="7" fillId="0" borderId="8" xfId="0" applyFont="1" applyBorder="1" applyAlignment="1">
      <alignment horizontal="left" vertical="top" wrapText="1"/>
    </xf>
    <xf numFmtId="0" fontId="65" fillId="0" borderId="68" xfId="0" applyFont="1" applyBorder="1" applyAlignment="1">
      <alignment horizontal="left" vertical="top" wrapText="1"/>
    </xf>
    <xf numFmtId="0" fontId="65" fillId="0" borderId="69" xfId="0" applyFont="1" applyBorder="1" applyAlignment="1">
      <alignment horizontal="left" vertical="top" wrapText="1"/>
    </xf>
    <xf numFmtId="0" fontId="65" fillId="0" borderId="0" xfId="0" applyFont="1" applyAlignment="1">
      <alignment horizontal="left" vertical="top" wrapText="1"/>
    </xf>
    <xf numFmtId="0" fontId="65" fillId="0" borderId="67" xfId="0" applyFont="1" applyBorder="1" applyAlignment="1">
      <alignment horizontal="left" vertical="top" wrapText="1"/>
    </xf>
    <xf numFmtId="0" fontId="32" fillId="0" borderId="70" xfId="0" applyFont="1" applyBorder="1" applyAlignment="1">
      <alignment horizontal="left" vertical="top" wrapText="1"/>
    </xf>
    <xf numFmtId="0" fontId="65" fillId="0" borderId="71" xfId="0" applyFont="1" applyBorder="1" applyAlignment="1">
      <alignment horizontal="left" vertical="top" wrapText="1"/>
    </xf>
    <xf numFmtId="0" fontId="2" fillId="0" borderId="0" xfId="0" applyFont="1" applyAlignment="1">
      <alignment horizontal="left" vertical="top" wrapText="1"/>
    </xf>
    <xf numFmtId="0" fontId="87" fillId="0" borderId="0" xfId="0" applyFont="1" applyAlignment="1">
      <alignment horizontal="left" vertical="center" wrapText="1"/>
    </xf>
    <xf numFmtId="0" fontId="0" fillId="0" borderId="0" xfId="0" applyAlignment="1">
      <alignment horizontal="left" vertical="center"/>
    </xf>
    <xf numFmtId="0" fontId="87" fillId="0" borderId="0" xfId="0" applyFont="1" applyAlignment="1">
      <alignment vertical="center" wrapText="1"/>
    </xf>
    <xf numFmtId="0" fontId="0" fillId="0" borderId="0" xfId="0" applyAlignment="1">
      <alignment vertical="center" wrapText="1"/>
    </xf>
    <xf numFmtId="0" fontId="6" fillId="2" borderId="0" xfId="0" applyFont="1" applyFill="1" applyAlignment="1">
      <alignment horizontal="center"/>
    </xf>
    <xf numFmtId="0" fontId="0" fillId="0" borderId="0" xfId="0" applyAlignment="1">
      <alignment vertical="top" wrapText="1"/>
    </xf>
    <xf numFmtId="0" fontId="0" fillId="0" borderId="0" xfId="0" applyAlignment="1">
      <alignment horizontal="left" vertical="top" wrapText="1"/>
    </xf>
    <xf numFmtId="0" fontId="7" fillId="0" borderId="0" xfId="0" applyFont="1" applyAlignment="1">
      <alignment vertical="center" wrapText="1"/>
    </xf>
    <xf numFmtId="0" fontId="2" fillId="0" borderId="0" xfId="0" applyFont="1" applyAlignment="1">
      <alignment vertical="center" wrapText="1"/>
    </xf>
    <xf numFmtId="0" fontId="0" fillId="0" borderId="0" xfId="0" applyAlignment="1">
      <alignment horizontal="left" vertical="center" wrapText="1"/>
    </xf>
    <xf numFmtId="0" fontId="4" fillId="2" borderId="0" xfId="5" applyFont="1" applyFill="1" applyAlignment="1">
      <alignment horizontal="center" wrapText="1"/>
    </xf>
    <xf numFmtId="0" fontId="4" fillId="2" borderId="61" xfId="5" applyFont="1" applyFill="1" applyBorder="1" applyAlignment="1">
      <alignment horizontal="center"/>
    </xf>
    <xf numFmtId="0" fontId="4" fillId="2" borderId="58" xfId="5" applyFont="1" applyFill="1" applyBorder="1" applyAlignment="1">
      <alignment horizontal="center"/>
    </xf>
    <xf numFmtId="0" fontId="4" fillId="2" borderId="53" xfId="5" applyFont="1" applyFill="1" applyBorder="1" applyAlignment="1">
      <alignment horizontal="center"/>
    </xf>
    <xf numFmtId="0" fontId="0" fillId="0" borderId="0" xfId="0" applyAlignment="1">
      <alignment horizontal="center" vertical="center" wrapText="1"/>
    </xf>
    <xf numFmtId="0" fontId="19" fillId="0" borderId="0" xfId="5" applyFont="1" applyAlignment="1">
      <alignment horizontal="left" vertical="center"/>
    </xf>
    <xf numFmtId="0" fontId="0" fillId="0" borderId="0" xfId="0" applyAlignment="1">
      <alignment horizontal="center" vertical="center"/>
    </xf>
    <xf numFmtId="0" fontId="14" fillId="8" borderId="0" xfId="5" applyFill="1" applyAlignment="1">
      <alignment horizontal="center" vertical="center"/>
    </xf>
    <xf numFmtId="0" fontId="14" fillId="0" borderId="0" xfId="5" applyAlignment="1">
      <alignment horizontal="center" vertical="center" wrapText="1"/>
    </xf>
    <xf numFmtId="0" fontId="14" fillId="0" borderId="11" xfId="5" applyBorder="1" applyAlignment="1">
      <alignment horizontal="center" vertical="center" wrapText="1"/>
    </xf>
    <xf numFmtId="0" fontId="14" fillId="7" borderId="0" xfId="5" applyFill="1" applyAlignment="1">
      <alignment horizontal="center" vertical="center"/>
    </xf>
    <xf numFmtId="0" fontId="14" fillId="0" borderId="0" xfId="5" applyAlignment="1">
      <alignment horizontal="center" vertical="center"/>
    </xf>
    <xf numFmtId="0" fontId="14" fillId="10" borderId="0" xfId="5" applyFill="1" applyAlignment="1">
      <alignment horizontal="center" vertical="center"/>
    </xf>
    <xf numFmtId="0" fontId="14" fillId="6" borderId="0" xfId="5" applyFill="1" applyAlignment="1">
      <alignment horizontal="center" vertical="center"/>
    </xf>
    <xf numFmtId="0" fontId="57" fillId="8" borderId="0" xfId="5" applyFont="1" applyFill="1" applyAlignment="1">
      <alignment horizontal="center" vertical="center"/>
    </xf>
    <xf numFmtId="0" fontId="14" fillId="7" borderId="11" xfId="5" applyFill="1" applyBorder="1" applyAlignment="1">
      <alignment horizontal="center" vertical="center"/>
    </xf>
    <xf numFmtId="0" fontId="14" fillId="0" borderId="0" xfId="5" applyAlignment="1">
      <alignment horizontal="left" vertical="center" wrapText="1"/>
    </xf>
    <xf numFmtId="0" fontId="0" fillId="0" borderId="11" xfId="0" applyBorder="1" applyAlignment="1">
      <alignment horizontal="center" vertical="center" wrapText="1"/>
    </xf>
    <xf numFmtId="0" fontId="0" fillId="0" borderId="0" xfId="0" applyAlignment="1">
      <alignment horizontal="center" vertical="top" wrapText="1"/>
    </xf>
    <xf numFmtId="0" fontId="3" fillId="0" borderId="0" xfId="0" applyFont="1" applyAlignment="1">
      <alignment horizontal="left" vertical="center"/>
    </xf>
  </cellXfs>
  <cellStyles count="13">
    <cellStyle name="blp_column_header" xfId="12" xr:uid="{00000000-0005-0000-0000-000000000000}"/>
    <cellStyle name="Currency 2" xfId="9" xr:uid="{00000000-0005-0000-0000-000002000000}"/>
    <cellStyle name="fa_column_header_bottom" xfId="11" xr:uid="{00000000-0005-0000-0000-000003000000}"/>
    <cellStyle name="Hyperlink" xfId="3" xr:uid="{00000000-0005-0000-0000-000010000000}"/>
    <cellStyle name="Normal" xfId="0" builtinId="0"/>
    <cellStyle name="Normal 2" xfId="8" xr:uid="{00000000-0005-0000-0000-000012000000}"/>
    <cellStyle name="Normal 2 2" xfId="5" xr:uid="{00000000-0005-0000-0000-000013000000}"/>
    <cellStyle name="Normal 3 2" xfId="6" xr:uid="{00000000-0005-0000-0000-000014000000}"/>
    <cellStyle name="Normal 6" xfId="10" xr:uid="{00000000-0005-0000-0000-000015000000}"/>
    <cellStyle name="Percent 2" xfId="4" xr:uid="{00000000-0005-0000-0000-000017000000}"/>
    <cellStyle name="Percentagem" xfId="2" builtinId="5"/>
    <cellStyle name="Porcentaje 3" xfId="7" xr:uid="{00000000-0005-0000-0000-000018000000}"/>
    <cellStyle name="Vírgula" xfId="1" builtinId="3"/>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5A5A5A"/>
      <color rgb="FF7B13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ichStyles" Target="richData/richStyles.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Array" Target="richData/rdarray.xml"/><Relationship Id="rId30" Type="http://schemas.microsoft.com/office/2017/06/relationships/rdSupportingPropertyBag" Target="richData/rdsupportingpropertybag.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7.7827080005605301E-2"/>
          <c:y val="1.2444568999010804E-2"/>
          <c:w val="0.81827696383999604"/>
          <c:h val="0.77530987711723032"/>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84039414564704851"/>
          <c:w val="0.96682457589059367"/>
          <c:h val="0.15960618687395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2B60-4461-A472-64F370888F05}"/>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2B60-4461-A472-64F370888F05}"/>
              </c:ext>
            </c:extLst>
          </c:dPt>
          <c:cat>
            <c:strRef>
              <c:f>Segments!$B$6:$B$7</c:f>
              <c:strCache>
                <c:ptCount val="2"/>
                <c:pt idx="0">
                  <c:v>United States</c:v>
                </c:pt>
                <c:pt idx="1">
                  <c:v>International</c:v>
                </c:pt>
              </c:strCache>
            </c:strRef>
          </c:cat>
          <c:val>
            <c:numRef>
              <c:f>Segments!$D$6:$D$7</c:f>
              <c:numCache>
                <c:formatCode>0.0%</c:formatCode>
                <c:ptCount val="2"/>
                <c:pt idx="0">
                  <c:v>0.94523251224665106</c:v>
                </c:pt>
                <c:pt idx="1">
                  <c:v>5.4767487753348963E-2</c:v>
                </c:pt>
              </c:numCache>
            </c:numRef>
          </c:val>
          <c:extLst>
            <c:ext xmlns:c16="http://schemas.microsoft.com/office/drawing/2014/chart" uri="{C3380CC4-5D6E-409C-BE32-E72D297353CC}">
              <c16:uniqueId val="{00000004-2B60-4461-A472-64F370888F0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BA87-4193-B8C3-8E7840D98FEB}"/>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BA87-4193-B8C3-8E7840D98FEB}"/>
              </c:ext>
            </c:extLst>
          </c:dPt>
          <c:cat>
            <c:strRef>
              <c:f>Segments!$B$12:$B$13</c:f>
              <c:strCache>
                <c:ptCount val="2"/>
                <c:pt idx="0">
                  <c:v>Specialized quantum computing hardware</c:v>
                </c:pt>
                <c:pt idx="1">
                  <c:v>Platform, consulting and support services</c:v>
                </c:pt>
              </c:strCache>
            </c:strRef>
          </c:cat>
          <c:val>
            <c:numRef>
              <c:f>Segments!$D$12:$D$13</c:f>
              <c:numCache>
                <c:formatCode>0.0%</c:formatCode>
                <c:ptCount val="2"/>
                <c:pt idx="0">
                  <c:v>0.50133494300373782</c:v>
                </c:pt>
                <c:pt idx="1">
                  <c:v>0.49866505699626218</c:v>
                </c:pt>
              </c:numCache>
            </c:numRef>
          </c:val>
          <c:extLst>
            <c:ext xmlns:c16="http://schemas.microsoft.com/office/drawing/2014/chart" uri="{C3380CC4-5D6E-409C-BE32-E72D297353CC}">
              <c16:uniqueId val="{00000004-BA87-4193-B8C3-8E7840D98FE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Forces</a:t>
            </a:r>
          </a:p>
        </c:rich>
      </c:tx>
      <c:layout>
        <c:manualLayout>
          <c:xMode val="edge"/>
          <c:yMode val="edge"/>
          <c:x val="0.31953033836633965"/>
          <c:y val="1.7004921197091051E-2"/>
        </c:manualLayout>
      </c:layout>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(Industry!$B$37,Industry!$B$44,Industry!$B$50,Industry!$B$56,Industry!$B$62)</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(Industry!$C$37,Industry!$C$44,Industry!$C$50,Industry!$C$56,Industry!$C$62)</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(Industry!$B$37,Industry!$B$44,Industry!$B$50,Industry!$B$56,Industry!$B$62)</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(Industry!$D$37,Industry!$D$44,Industry!$D$50,Industry!$D$56,Industry!$D$62)</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(Industry!$B$37,Industry!$B$44,Industry!$B$50,Industry!$B$56,Industry!$B$62)</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(Industry!$E$37,Industry!$E$44,Industry!$E$50,Industry!$E$56,Industry!$E$62)</c:f>
              <c:numCache>
                <c:formatCode>General</c:formatCode>
                <c:ptCount val="5"/>
                <c:pt idx="0" formatCode="0.00">
                  <c:v>2.1666666666666665</c:v>
                </c:pt>
                <c:pt idx="1">
                  <c:v>3.4</c:v>
                </c:pt>
                <c:pt idx="2">
                  <c:v>4.2</c:v>
                </c:pt>
                <c:pt idx="3">
                  <c:v>3.6</c:v>
                </c:pt>
                <c:pt idx="4">
                  <c:v>1.75</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CN"/>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B0-439D-8074-43EAB194AB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B0-439D-8074-43EAB194AB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B0-439D-8074-43EAB194AB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FB0-439D-8074-43EAB194AB3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FB0-439D-8074-43EAB194AB3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FB0-439D-8074-43EAB194AB32}"/>
              </c:ext>
            </c:extLst>
          </c:dPt>
          <c:cat>
            <c:strRef>
              <c:f>Industry!$B$21:$B$32</c:f>
              <c:strCache>
                <c:ptCount val="11"/>
                <c:pt idx="0">
                  <c:v>IONQ, INC.</c:v>
                </c:pt>
                <c:pt idx="1">
                  <c:v>RIGETTI COMPUTING, INC</c:v>
                </c:pt>
                <c:pt idx="2">
                  <c:v>D-WAVE QUANTUM INC.</c:v>
                </c:pt>
                <c:pt idx="3">
                  <c:v>QUANTUM COMPUTING INC.</c:v>
                </c:pt>
                <c:pt idx="10">
                  <c:v>Others</c:v>
                </c:pt>
              </c:strCache>
            </c:strRef>
          </c:cat>
          <c:val>
            <c:numRef>
              <c:f>Industry!$I$21:$I$32</c:f>
              <c:numCache>
                <c:formatCode>0%</c:formatCode>
                <c:ptCount val="11"/>
                <c:pt idx="0">
                  <c:v>3.7128695802086026E-2</c:v>
                </c:pt>
                <c:pt idx="1">
                  <c:v>9.3009223342815275E-3</c:v>
                </c:pt>
                <c:pt idx="2">
                  <c:v>7.6088268252736836E-3</c:v>
                </c:pt>
                <c:pt idx="3">
                  <c:v>3.2152400655115936E-4</c:v>
                </c:pt>
                <c:pt idx="10">
                  <c:v>0.9456400310318076</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ayout>
        <c:manualLayout>
          <c:xMode val="edge"/>
          <c:yMode val="edge"/>
          <c:x val="0.42438824899547034"/>
          <c:y val="4.0029985673511542E-2"/>
          <c:w val="0.50344530231438234"/>
          <c:h val="0.916051876281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cat>
            <c:strRef>
              <c:f>Segments!$B$6:$B$7</c:f>
              <c:strCache>
                <c:ptCount val="2"/>
                <c:pt idx="0">
                  <c:v>United States</c:v>
                </c:pt>
                <c:pt idx="1">
                  <c:v>International</c:v>
                </c:pt>
              </c:strCache>
            </c:strRef>
          </c:cat>
          <c:val>
            <c:numRef>
              <c:f>Segments!$D$6:$D$7</c:f>
              <c:numCache>
                <c:formatCode>0.0%</c:formatCode>
                <c:ptCount val="2"/>
                <c:pt idx="0">
                  <c:v>0.94523251224665106</c:v>
                </c:pt>
                <c:pt idx="1">
                  <c:v>5.4767487753348963E-2</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cat>
            <c:strRef>
              <c:f>Segments!$B$12:$B$13</c:f>
              <c:strCache>
                <c:ptCount val="2"/>
                <c:pt idx="0">
                  <c:v>Specialized quantum computing hardware</c:v>
                </c:pt>
                <c:pt idx="1">
                  <c:v>Platform, consulting and support services</c:v>
                </c:pt>
              </c:strCache>
            </c:strRef>
          </c:cat>
          <c:val>
            <c:numRef>
              <c:f>Segments!$D$12:$D$13</c:f>
              <c:numCache>
                <c:formatCode>0.0%</c:formatCode>
                <c:ptCount val="2"/>
                <c:pt idx="0">
                  <c:v>0.50133494300373782</c:v>
                </c:pt>
                <c:pt idx="1">
                  <c:v>0.49866505699626218</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a:ea typeface="Arial"/>
                <a:cs typeface="Arial"/>
              </a:defRPr>
            </a:pPr>
            <a:r>
              <a:rPr lang="en-US"/>
              <a:t>Disaggregated Revenue Development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a:ea typeface="Arial"/>
              <a:cs typeface="Arial"/>
            </a:defRPr>
          </a:pPr>
          <a:endParaRPr lang="en-CN"/>
        </a:p>
      </c:txPr>
    </c:title>
    <c:autoTitleDeleted val="0"/>
    <c:plotArea>
      <c:layout/>
      <c:barChart>
        <c:barDir val="col"/>
        <c:grouping val="clustered"/>
        <c:varyColors val="0"/>
        <c:ser>
          <c:idx val="0"/>
          <c:order val="0"/>
          <c:tx>
            <c:v>United States</c:v>
          </c:tx>
          <c:spPr>
            <a:solidFill>
              <a:schemeClr val="accent1"/>
            </a:solidFill>
            <a:ln>
              <a:noFill/>
            </a:ln>
            <a:effectLst/>
          </c:spPr>
          <c:invertIfNegative val="0"/>
          <c:cat>
            <c:numRef>
              <c:f>Segments!$E$4:$I$4</c:f>
              <c:numCache>
                <c:formatCode>0</c:formatCode>
                <c:ptCount val="5"/>
                <c:pt idx="0">
                  <c:v>2020</c:v>
                </c:pt>
                <c:pt idx="1">
                  <c:v>2021</c:v>
                </c:pt>
                <c:pt idx="2">
                  <c:v>2022</c:v>
                </c:pt>
                <c:pt idx="3">
                  <c:v>2023</c:v>
                </c:pt>
                <c:pt idx="4">
                  <c:v>2024</c:v>
                </c:pt>
              </c:numCache>
            </c:numRef>
          </c:cat>
          <c:val>
            <c:numRef>
              <c:f>Segments!$E$6:$I$6</c:f>
              <c:numCache>
                <c:formatCode>#,##0_);\(#,##0\)</c:formatCode>
                <c:ptCount val="5"/>
                <c:pt idx="0">
                  <c:v>0</c:v>
                </c:pt>
                <c:pt idx="1">
                  <c:v>1889.1</c:v>
                </c:pt>
                <c:pt idx="2">
                  <c:v>9175</c:v>
                </c:pt>
                <c:pt idx="3">
                  <c:v>18703</c:v>
                </c:pt>
                <c:pt idx="4">
                  <c:v>40714</c:v>
                </c:pt>
              </c:numCache>
            </c:numRef>
          </c:val>
          <c:extLst>
            <c:ext xmlns:c16="http://schemas.microsoft.com/office/drawing/2014/chart" uri="{C3380CC4-5D6E-409C-BE32-E72D297353CC}">
              <c16:uniqueId val="{00000001-003A-4651-97A7-3E45DC00FF62}"/>
            </c:ext>
          </c:extLst>
        </c:ser>
        <c:ser>
          <c:idx val="1"/>
          <c:order val="1"/>
          <c:tx>
            <c:v>International</c:v>
          </c:tx>
          <c:spPr>
            <a:solidFill>
              <a:schemeClr val="accent2"/>
            </a:solidFill>
            <a:ln>
              <a:noFill/>
            </a:ln>
            <a:effectLst/>
          </c:spPr>
          <c:invertIfNegative val="0"/>
          <c:cat>
            <c:numRef>
              <c:f>Segments!$E$4:$I$4</c:f>
              <c:numCache>
                <c:formatCode>0</c:formatCode>
                <c:ptCount val="5"/>
                <c:pt idx="0">
                  <c:v>2020</c:v>
                </c:pt>
                <c:pt idx="1">
                  <c:v>2021</c:v>
                </c:pt>
                <c:pt idx="2">
                  <c:v>2022</c:v>
                </c:pt>
                <c:pt idx="3">
                  <c:v>2023</c:v>
                </c:pt>
                <c:pt idx="4">
                  <c:v>2024</c:v>
                </c:pt>
              </c:numCache>
            </c:numRef>
          </c:cat>
          <c:val>
            <c:numRef>
              <c:f>Segments!$E$7:$I$7</c:f>
              <c:numCache>
                <c:formatCode>#,##0_);\(#,##0\)</c:formatCode>
                <c:ptCount val="5"/>
                <c:pt idx="0">
                  <c:v>0</c:v>
                </c:pt>
                <c:pt idx="1">
                  <c:v>209.9</c:v>
                </c:pt>
                <c:pt idx="2">
                  <c:v>1956</c:v>
                </c:pt>
                <c:pt idx="3">
                  <c:v>3339</c:v>
                </c:pt>
                <c:pt idx="4">
                  <c:v>2359</c:v>
                </c:pt>
              </c:numCache>
            </c:numRef>
          </c:val>
          <c:extLst>
            <c:ext xmlns:c16="http://schemas.microsoft.com/office/drawing/2014/chart" uri="{C3380CC4-5D6E-409C-BE32-E72D297353CC}">
              <c16:uniqueId val="{00000003-003A-4651-97A7-3E45DC00FF62}"/>
            </c:ext>
          </c:extLst>
        </c:ser>
        <c:ser>
          <c:idx val="2"/>
          <c:order val="2"/>
          <c:tx>
            <c:v>Specialized quantum computing hardware</c:v>
          </c:tx>
          <c:spPr>
            <a:solidFill>
              <a:schemeClr val="accent3"/>
            </a:solidFill>
            <a:ln>
              <a:noFill/>
            </a:ln>
            <a:effectLst/>
          </c:spPr>
          <c:invertIfNegative val="0"/>
          <c:cat>
            <c:numRef>
              <c:f>Segments!$E$4:$I$4</c:f>
              <c:numCache>
                <c:formatCode>0</c:formatCode>
                <c:ptCount val="5"/>
                <c:pt idx="0">
                  <c:v>2020</c:v>
                </c:pt>
                <c:pt idx="1">
                  <c:v>2021</c:v>
                </c:pt>
                <c:pt idx="2">
                  <c:v>2022</c:v>
                </c:pt>
                <c:pt idx="3">
                  <c:v>2023</c:v>
                </c:pt>
                <c:pt idx="4">
                  <c:v>2024</c:v>
                </c:pt>
              </c:numCache>
            </c:numRef>
          </c:cat>
          <c:val>
            <c:numRef>
              <c:f>Segments!$E$12:$I$12</c:f>
              <c:numCache>
                <c:formatCode>#,##0_);\(#,##0\)</c:formatCode>
                <c:ptCount val="5"/>
                <c:pt idx="0">
                  <c:v>0</c:v>
                </c:pt>
                <c:pt idx="1">
                  <c:v>0</c:v>
                </c:pt>
                <c:pt idx="2">
                  <c:v>239</c:v>
                </c:pt>
                <c:pt idx="3">
                  <c:v>7083</c:v>
                </c:pt>
                <c:pt idx="4">
                  <c:v>21594</c:v>
                </c:pt>
              </c:numCache>
            </c:numRef>
          </c:val>
          <c:extLst>
            <c:ext xmlns:c16="http://schemas.microsoft.com/office/drawing/2014/chart" uri="{C3380CC4-5D6E-409C-BE32-E72D297353CC}">
              <c16:uniqueId val="{00000004-003A-4651-97A7-3E45DC00FF62}"/>
            </c:ext>
          </c:extLst>
        </c:ser>
        <c:ser>
          <c:idx val="3"/>
          <c:order val="3"/>
          <c:tx>
            <c:v>Platform, consulting and support services</c:v>
          </c:tx>
          <c:spPr>
            <a:solidFill>
              <a:schemeClr val="accent4"/>
            </a:solidFill>
            <a:ln>
              <a:noFill/>
            </a:ln>
            <a:effectLst/>
          </c:spPr>
          <c:invertIfNegative val="0"/>
          <c:cat>
            <c:numRef>
              <c:f>Segments!$E$4:$I$4</c:f>
              <c:numCache>
                <c:formatCode>0</c:formatCode>
                <c:ptCount val="5"/>
                <c:pt idx="0">
                  <c:v>2020</c:v>
                </c:pt>
                <c:pt idx="1">
                  <c:v>2021</c:v>
                </c:pt>
                <c:pt idx="2">
                  <c:v>2022</c:v>
                </c:pt>
                <c:pt idx="3">
                  <c:v>2023</c:v>
                </c:pt>
                <c:pt idx="4">
                  <c:v>2024</c:v>
                </c:pt>
              </c:numCache>
            </c:numRef>
          </c:cat>
          <c:val>
            <c:numRef>
              <c:f>Segments!$E$13:$I$13</c:f>
              <c:numCache>
                <c:formatCode>#,##0_);\(#,##0\)</c:formatCode>
                <c:ptCount val="5"/>
                <c:pt idx="0">
                  <c:v>0</c:v>
                </c:pt>
                <c:pt idx="1">
                  <c:v>2099</c:v>
                </c:pt>
                <c:pt idx="2">
                  <c:v>10892</c:v>
                </c:pt>
                <c:pt idx="3">
                  <c:v>14959</c:v>
                </c:pt>
                <c:pt idx="4">
                  <c:v>21479</c:v>
                </c:pt>
              </c:numCache>
            </c:numRef>
          </c:val>
          <c:extLst>
            <c:ext xmlns:c16="http://schemas.microsoft.com/office/drawing/2014/chart" uri="{C3380CC4-5D6E-409C-BE32-E72D297353CC}">
              <c16:uniqueId val="{00000005-003A-4651-97A7-3E45DC00FF62}"/>
            </c:ext>
          </c:extLst>
        </c:ser>
        <c:dLbls>
          <c:showLegendKey val="0"/>
          <c:showVal val="0"/>
          <c:showCatName val="0"/>
          <c:showSerName val="0"/>
          <c:showPercent val="0"/>
          <c:showBubbleSize val="0"/>
        </c:dLbls>
        <c:gapWidth val="219"/>
        <c:overlap val="-27"/>
        <c:axId val="1347939848"/>
        <c:axId val="1568090632"/>
      </c:barChart>
      <c:catAx>
        <c:axId val="134793984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568090632"/>
        <c:crosses val="autoZero"/>
        <c:auto val="1"/>
        <c:lblAlgn val="ctr"/>
        <c:lblOffset val="100"/>
        <c:noMultiLvlLbl val="0"/>
      </c:catAx>
      <c:valAx>
        <c:axId val="1568090632"/>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34793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STOCK!$C$4</c:f>
              <c:strCache>
                <c:ptCount val="1"/>
                <c:pt idx="0">
                  <c:v>Last Price</c:v>
                </c:pt>
              </c:strCache>
            </c:strRef>
          </c:tx>
          <c:spPr>
            <a:solidFill>
              <a:schemeClr val="accent1"/>
            </a:solidFill>
            <a:ln>
              <a:noFill/>
            </a:ln>
            <a:effectLst/>
          </c:spPr>
          <c:invertIfNegative val="0"/>
          <c:cat>
            <c:numRef>
              <c:f>STOCK!$B$5:$B$771</c:f>
              <c:numCache>
                <c:formatCode>m/d/yyyy</c:formatCode>
                <c:ptCount val="767"/>
                <c:pt idx="0">
                  <c:v>45768</c:v>
                </c:pt>
                <c:pt idx="1">
                  <c:v>45764</c:v>
                </c:pt>
                <c:pt idx="2">
                  <c:v>45763</c:v>
                </c:pt>
                <c:pt idx="3">
                  <c:v>45762</c:v>
                </c:pt>
                <c:pt idx="4">
                  <c:v>45761</c:v>
                </c:pt>
                <c:pt idx="5">
                  <c:v>45758</c:v>
                </c:pt>
                <c:pt idx="6">
                  <c:v>45757</c:v>
                </c:pt>
                <c:pt idx="7">
                  <c:v>45756</c:v>
                </c:pt>
                <c:pt idx="8">
                  <c:v>45755</c:v>
                </c:pt>
                <c:pt idx="9">
                  <c:v>45754</c:v>
                </c:pt>
                <c:pt idx="10">
                  <c:v>45751</c:v>
                </c:pt>
                <c:pt idx="11">
                  <c:v>45750</c:v>
                </c:pt>
                <c:pt idx="12">
                  <c:v>45749</c:v>
                </c:pt>
                <c:pt idx="13">
                  <c:v>45748</c:v>
                </c:pt>
                <c:pt idx="14">
                  <c:v>45747</c:v>
                </c:pt>
                <c:pt idx="15">
                  <c:v>45744</c:v>
                </c:pt>
                <c:pt idx="16">
                  <c:v>45743</c:v>
                </c:pt>
                <c:pt idx="17">
                  <c:v>45742</c:v>
                </c:pt>
                <c:pt idx="18">
                  <c:v>45741</c:v>
                </c:pt>
                <c:pt idx="19">
                  <c:v>45740</c:v>
                </c:pt>
                <c:pt idx="20">
                  <c:v>45737</c:v>
                </c:pt>
                <c:pt idx="21">
                  <c:v>45736</c:v>
                </c:pt>
                <c:pt idx="22">
                  <c:v>45735</c:v>
                </c:pt>
                <c:pt idx="23">
                  <c:v>45734</c:v>
                </c:pt>
                <c:pt idx="24">
                  <c:v>45733</c:v>
                </c:pt>
                <c:pt idx="25">
                  <c:v>45730</c:v>
                </c:pt>
                <c:pt idx="26">
                  <c:v>45729</c:v>
                </c:pt>
                <c:pt idx="27">
                  <c:v>45728</c:v>
                </c:pt>
                <c:pt idx="28">
                  <c:v>45727</c:v>
                </c:pt>
                <c:pt idx="29">
                  <c:v>45726</c:v>
                </c:pt>
                <c:pt idx="30">
                  <c:v>45723</c:v>
                </c:pt>
                <c:pt idx="31">
                  <c:v>45722</c:v>
                </c:pt>
                <c:pt idx="32">
                  <c:v>45721</c:v>
                </c:pt>
                <c:pt idx="33">
                  <c:v>45720</c:v>
                </c:pt>
                <c:pt idx="34">
                  <c:v>45719</c:v>
                </c:pt>
                <c:pt idx="35">
                  <c:v>45716</c:v>
                </c:pt>
                <c:pt idx="36">
                  <c:v>45715</c:v>
                </c:pt>
                <c:pt idx="37">
                  <c:v>45714</c:v>
                </c:pt>
                <c:pt idx="38">
                  <c:v>45713</c:v>
                </c:pt>
                <c:pt idx="39">
                  <c:v>45712</c:v>
                </c:pt>
                <c:pt idx="40">
                  <c:v>45709</c:v>
                </c:pt>
                <c:pt idx="41">
                  <c:v>45708</c:v>
                </c:pt>
                <c:pt idx="42">
                  <c:v>45707</c:v>
                </c:pt>
                <c:pt idx="43">
                  <c:v>45706</c:v>
                </c:pt>
                <c:pt idx="44">
                  <c:v>45702</c:v>
                </c:pt>
                <c:pt idx="45">
                  <c:v>45701</c:v>
                </c:pt>
                <c:pt idx="46">
                  <c:v>45700</c:v>
                </c:pt>
                <c:pt idx="47">
                  <c:v>45699</c:v>
                </c:pt>
                <c:pt idx="48">
                  <c:v>45698</c:v>
                </c:pt>
                <c:pt idx="49">
                  <c:v>45695</c:v>
                </c:pt>
                <c:pt idx="50">
                  <c:v>45694</c:v>
                </c:pt>
                <c:pt idx="51">
                  <c:v>45693</c:v>
                </c:pt>
                <c:pt idx="52">
                  <c:v>45692</c:v>
                </c:pt>
                <c:pt idx="53">
                  <c:v>45691</c:v>
                </c:pt>
                <c:pt idx="54">
                  <c:v>45688</c:v>
                </c:pt>
                <c:pt idx="55">
                  <c:v>45687</c:v>
                </c:pt>
                <c:pt idx="56">
                  <c:v>45686</c:v>
                </c:pt>
                <c:pt idx="57">
                  <c:v>45685</c:v>
                </c:pt>
                <c:pt idx="58">
                  <c:v>45684</c:v>
                </c:pt>
                <c:pt idx="59">
                  <c:v>45681</c:v>
                </c:pt>
                <c:pt idx="60">
                  <c:v>45680</c:v>
                </c:pt>
                <c:pt idx="61">
                  <c:v>45679</c:v>
                </c:pt>
                <c:pt idx="62">
                  <c:v>45678</c:v>
                </c:pt>
                <c:pt idx="63">
                  <c:v>45674</c:v>
                </c:pt>
                <c:pt idx="64">
                  <c:v>45673</c:v>
                </c:pt>
                <c:pt idx="65">
                  <c:v>45672</c:v>
                </c:pt>
                <c:pt idx="66">
                  <c:v>45671</c:v>
                </c:pt>
                <c:pt idx="67">
                  <c:v>45670</c:v>
                </c:pt>
                <c:pt idx="68">
                  <c:v>45667</c:v>
                </c:pt>
                <c:pt idx="69">
                  <c:v>45665</c:v>
                </c:pt>
                <c:pt idx="70">
                  <c:v>45664</c:v>
                </c:pt>
                <c:pt idx="71">
                  <c:v>45663</c:v>
                </c:pt>
                <c:pt idx="72">
                  <c:v>45660</c:v>
                </c:pt>
                <c:pt idx="73">
                  <c:v>45659</c:v>
                </c:pt>
                <c:pt idx="74">
                  <c:v>45657</c:v>
                </c:pt>
                <c:pt idx="75">
                  <c:v>45656</c:v>
                </c:pt>
                <c:pt idx="76">
                  <c:v>45653</c:v>
                </c:pt>
                <c:pt idx="77">
                  <c:v>45652</c:v>
                </c:pt>
                <c:pt idx="78">
                  <c:v>45650</c:v>
                </c:pt>
                <c:pt idx="79">
                  <c:v>45649</c:v>
                </c:pt>
                <c:pt idx="80">
                  <c:v>45646</c:v>
                </c:pt>
                <c:pt idx="81">
                  <c:v>45645</c:v>
                </c:pt>
                <c:pt idx="82">
                  <c:v>45644</c:v>
                </c:pt>
                <c:pt idx="83">
                  <c:v>45643</c:v>
                </c:pt>
                <c:pt idx="84">
                  <c:v>45642</c:v>
                </c:pt>
                <c:pt idx="85">
                  <c:v>45639</c:v>
                </c:pt>
                <c:pt idx="86">
                  <c:v>45638</c:v>
                </c:pt>
                <c:pt idx="87">
                  <c:v>45637</c:v>
                </c:pt>
                <c:pt idx="88">
                  <c:v>45636</c:v>
                </c:pt>
                <c:pt idx="89">
                  <c:v>45635</c:v>
                </c:pt>
                <c:pt idx="90">
                  <c:v>45632</c:v>
                </c:pt>
                <c:pt idx="91">
                  <c:v>45631</c:v>
                </c:pt>
                <c:pt idx="92">
                  <c:v>45630</c:v>
                </c:pt>
                <c:pt idx="93">
                  <c:v>45629</c:v>
                </c:pt>
                <c:pt idx="94">
                  <c:v>45628</c:v>
                </c:pt>
                <c:pt idx="95">
                  <c:v>45625</c:v>
                </c:pt>
                <c:pt idx="96">
                  <c:v>45623</c:v>
                </c:pt>
                <c:pt idx="97">
                  <c:v>45622</c:v>
                </c:pt>
                <c:pt idx="98">
                  <c:v>45621</c:v>
                </c:pt>
                <c:pt idx="99">
                  <c:v>45618</c:v>
                </c:pt>
                <c:pt idx="100">
                  <c:v>45617</c:v>
                </c:pt>
                <c:pt idx="101">
                  <c:v>45616</c:v>
                </c:pt>
                <c:pt idx="102">
                  <c:v>45615</c:v>
                </c:pt>
                <c:pt idx="103">
                  <c:v>45614</c:v>
                </c:pt>
                <c:pt idx="104">
                  <c:v>45611</c:v>
                </c:pt>
                <c:pt idx="105">
                  <c:v>45610</c:v>
                </c:pt>
                <c:pt idx="106">
                  <c:v>45609</c:v>
                </c:pt>
                <c:pt idx="107">
                  <c:v>45608</c:v>
                </c:pt>
                <c:pt idx="108">
                  <c:v>45607</c:v>
                </c:pt>
                <c:pt idx="109">
                  <c:v>45604</c:v>
                </c:pt>
                <c:pt idx="110">
                  <c:v>45603</c:v>
                </c:pt>
                <c:pt idx="111">
                  <c:v>45602</c:v>
                </c:pt>
                <c:pt idx="112">
                  <c:v>45601</c:v>
                </c:pt>
                <c:pt idx="113">
                  <c:v>45600</c:v>
                </c:pt>
                <c:pt idx="114">
                  <c:v>45597</c:v>
                </c:pt>
                <c:pt idx="115">
                  <c:v>45596</c:v>
                </c:pt>
                <c:pt idx="116">
                  <c:v>45595</c:v>
                </c:pt>
                <c:pt idx="117">
                  <c:v>45594</c:v>
                </c:pt>
                <c:pt idx="118">
                  <c:v>45593</c:v>
                </c:pt>
                <c:pt idx="119">
                  <c:v>45590</c:v>
                </c:pt>
                <c:pt idx="120">
                  <c:v>45589</c:v>
                </c:pt>
                <c:pt idx="121">
                  <c:v>45588</c:v>
                </c:pt>
                <c:pt idx="122">
                  <c:v>45587</c:v>
                </c:pt>
                <c:pt idx="123">
                  <c:v>45586</c:v>
                </c:pt>
                <c:pt idx="124">
                  <c:v>45583</c:v>
                </c:pt>
                <c:pt idx="125">
                  <c:v>45582</c:v>
                </c:pt>
                <c:pt idx="126">
                  <c:v>45581</c:v>
                </c:pt>
                <c:pt idx="127">
                  <c:v>45580</c:v>
                </c:pt>
                <c:pt idx="128">
                  <c:v>45579</c:v>
                </c:pt>
                <c:pt idx="129">
                  <c:v>45576</c:v>
                </c:pt>
                <c:pt idx="130">
                  <c:v>45575</c:v>
                </c:pt>
                <c:pt idx="131">
                  <c:v>45574</c:v>
                </c:pt>
                <c:pt idx="132">
                  <c:v>45573</c:v>
                </c:pt>
                <c:pt idx="133">
                  <c:v>45572</c:v>
                </c:pt>
                <c:pt idx="134">
                  <c:v>45569</c:v>
                </c:pt>
                <c:pt idx="135">
                  <c:v>45568</c:v>
                </c:pt>
                <c:pt idx="136">
                  <c:v>45567</c:v>
                </c:pt>
                <c:pt idx="137">
                  <c:v>45566</c:v>
                </c:pt>
                <c:pt idx="138">
                  <c:v>45565</c:v>
                </c:pt>
                <c:pt idx="139">
                  <c:v>45562</c:v>
                </c:pt>
                <c:pt idx="140">
                  <c:v>45561</c:v>
                </c:pt>
                <c:pt idx="141">
                  <c:v>45560</c:v>
                </c:pt>
                <c:pt idx="142">
                  <c:v>45559</c:v>
                </c:pt>
                <c:pt idx="143">
                  <c:v>45558</c:v>
                </c:pt>
                <c:pt idx="144">
                  <c:v>45555</c:v>
                </c:pt>
                <c:pt idx="145">
                  <c:v>45554</c:v>
                </c:pt>
                <c:pt idx="146">
                  <c:v>45553</c:v>
                </c:pt>
                <c:pt idx="147">
                  <c:v>45552</c:v>
                </c:pt>
                <c:pt idx="148">
                  <c:v>45551</c:v>
                </c:pt>
                <c:pt idx="149">
                  <c:v>45548</c:v>
                </c:pt>
                <c:pt idx="150">
                  <c:v>45547</c:v>
                </c:pt>
                <c:pt idx="151">
                  <c:v>45546</c:v>
                </c:pt>
                <c:pt idx="152">
                  <c:v>45545</c:v>
                </c:pt>
                <c:pt idx="153">
                  <c:v>45544</c:v>
                </c:pt>
                <c:pt idx="154">
                  <c:v>45541</c:v>
                </c:pt>
                <c:pt idx="155">
                  <c:v>45540</c:v>
                </c:pt>
                <c:pt idx="156">
                  <c:v>45539</c:v>
                </c:pt>
                <c:pt idx="157">
                  <c:v>45538</c:v>
                </c:pt>
                <c:pt idx="158">
                  <c:v>45534</c:v>
                </c:pt>
                <c:pt idx="159">
                  <c:v>45533</c:v>
                </c:pt>
                <c:pt idx="160">
                  <c:v>45532</c:v>
                </c:pt>
                <c:pt idx="161">
                  <c:v>45531</c:v>
                </c:pt>
                <c:pt idx="162">
                  <c:v>45530</c:v>
                </c:pt>
                <c:pt idx="163">
                  <c:v>45527</c:v>
                </c:pt>
                <c:pt idx="164">
                  <c:v>45526</c:v>
                </c:pt>
                <c:pt idx="165">
                  <c:v>45525</c:v>
                </c:pt>
                <c:pt idx="166">
                  <c:v>45524</c:v>
                </c:pt>
                <c:pt idx="167">
                  <c:v>45523</c:v>
                </c:pt>
                <c:pt idx="168">
                  <c:v>45520</c:v>
                </c:pt>
                <c:pt idx="169">
                  <c:v>45519</c:v>
                </c:pt>
                <c:pt idx="170">
                  <c:v>45518</c:v>
                </c:pt>
                <c:pt idx="171">
                  <c:v>45517</c:v>
                </c:pt>
                <c:pt idx="172">
                  <c:v>45516</c:v>
                </c:pt>
                <c:pt idx="173">
                  <c:v>45513</c:v>
                </c:pt>
                <c:pt idx="174">
                  <c:v>45512</c:v>
                </c:pt>
                <c:pt idx="175">
                  <c:v>45511</c:v>
                </c:pt>
                <c:pt idx="176">
                  <c:v>45510</c:v>
                </c:pt>
                <c:pt idx="177">
                  <c:v>45509</c:v>
                </c:pt>
                <c:pt idx="178">
                  <c:v>45506</c:v>
                </c:pt>
                <c:pt idx="179">
                  <c:v>45505</c:v>
                </c:pt>
                <c:pt idx="180">
                  <c:v>45504</c:v>
                </c:pt>
                <c:pt idx="181">
                  <c:v>45503</c:v>
                </c:pt>
                <c:pt idx="182">
                  <c:v>45502</c:v>
                </c:pt>
                <c:pt idx="183">
                  <c:v>45499</c:v>
                </c:pt>
                <c:pt idx="184">
                  <c:v>45498</c:v>
                </c:pt>
                <c:pt idx="185">
                  <c:v>45497</c:v>
                </c:pt>
                <c:pt idx="186">
                  <c:v>45496</c:v>
                </c:pt>
                <c:pt idx="187">
                  <c:v>45495</c:v>
                </c:pt>
                <c:pt idx="188">
                  <c:v>45492</c:v>
                </c:pt>
                <c:pt idx="189">
                  <c:v>45491</c:v>
                </c:pt>
                <c:pt idx="190">
                  <c:v>45490</c:v>
                </c:pt>
                <c:pt idx="191">
                  <c:v>45489</c:v>
                </c:pt>
                <c:pt idx="192">
                  <c:v>45488</c:v>
                </c:pt>
                <c:pt idx="193">
                  <c:v>45485</c:v>
                </c:pt>
                <c:pt idx="194">
                  <c:v>45484</c:v>
                </c:pt>
                <c:pt idx="195">
                  <c:v>45483</c:v>
                </c:pt>
                <c:pt idx="196">
                  <c:v>45482</c:v>
                </c:pt>
                <c:pt idx="197">
                  <c:v>45481</c:v>
                </c:pt>
                <c:pt idx="198">
                  <c:v>45478</c:v>
                </c:pt>
                <c:pt idx="199">
                  <c:v>45476</c:v>
                </c:pt>
                <c:pt idx="200">
                  <c:v>45475</c:v>
                </c:pt>
                <c:pt idx="201">
                  <c:v>45474</c:v>
                </c:pt>
                <c:pt idx="202">
                  <c:v>45471</c:v>
                </c:pt>
                <c:pt idx="203">
                  <c:v>45470</c:v>
                </c:pt>
                <c:pt idx="204">
                  <c:v>45469</c:v>
                </c:pt>
                <c:pt idx="205">
                  <c:v>45468</c:v>
                </c:pt>
                <c:pt idx="206">
                  <c:v>45467</c:v>
                </c:pt>
                <c:pt idx="207">
                  <c:v>45464</c:v>
                </c:pt>
                <c:pt idx="208">
                  <c:v>45463</c:v>
                </c:pt>
                <c:pt idx="209">
                  <c:v>45461</c:v>
                </c:pt>
                <c:pt idx="210">
                  <c:v>45460</c:v>
                </c:pt>
                <c:pt idx="211">
                  <c:v>45457</c:v>
                </c:pt>
                <c:pt idx="212">
                  <c:v>45456</c:v>
                </c:pt>
                <c:pt idx="213">
                  <c:v>45455</c:v>
                </c:pt>
                <c:pt idx="214">
                  <c:v>45454</c:v>
                </c:pt>
                <c:pt idx="215">
                  <c:v>45453</c:v>
                </c:pt>
                <c:pt idx="216">
                  <c:v>45450</c:v>
                </c:pt>
                <c:pt idx="217">
                  <c:v>45449</c:v>
                </c:pt>
                <c:pt idx="218">
                  <c:v>45448</c:v>
                </c:pt>
                <c:pt idx="219">
                  <c:v>45447</c:v>
                </c:pt>
                <c:pt idx="220">
                  <c:v>45446</c:v>
                </c:pt>
                <c:pt idx="221">
                  <c:v>45443</c:v>
                </c:pt>
                <c:pt idx="222">
                  <c:v>45442</c:v>
                </c:pt>
                <c:pt idx="223">
                  <c:v>45441</c:v>
                </c:pt>
                <c:pt idx="224">
                  <c:v>45440</c:v>
                </c:pt>
                <c:pt idx="225">
                  <c:v>45436</c:v>
                </c:pt>
                <c:pt idx="226">
                  <c:v>45435</c:v>
                </c:pt>
                <c:pt idx="227">
                  <c:v>45434</c:v>
                </c:pt>
                <c:pt idx="228">
                  <c:v>45433</c:v>
                </c:pt>
                <c:pt idx="229">
                  <c:v>45432</c:v>
                </c:pt>
                <c:pt idx="230">
                  <c:v>45429</c:v>
                </c:pt>
                <c:pt idx="231">
                  <c:v>45428</c:v>
                </c:pt>
                <c:pt idx="232">
                  <c:v>45427</c:v>
                </c:pt>
                <c:pt idx="233">
                  <c:v>45426</c:v>
                </c:pt>
                <c:pt idx="234">
                  <c:v>45425</c:v>
                </c:pt>
                <c:pt idx="235">
                  <c:v>45422</c:v>
                </c:pt>
                <c:pt idx="236">
                  <c:v>45421</c:v>
                </c:pt>
                <c:pt idx="237">
                  <c:v>45420</c:v>
                </c:pt>
                <c:pt idx="238">
                  <c:v>45419</c:v>
                </c:pt>
                <c:pt idx="239">
                  <c:v>45418</c:v>
                </c:pt>
                <c:pt idx="240">
                  <c:v>45415</c:v>
                </c:pt>
                <c:pt idx="241">
                  <c:v>45414</c:v>
                </c:pt>
                <c:pt idx="242">
                  <c:v>45413</c:v>
                </c:pt>
                <c:pt idx="243">
                  <c:v>45412</c:v>
                </c:pt>
                <c:pt idx="244">
                  <c:v>45411</c:v>
                </c:pt>
                <c:pt idx="245">
                  <c:v>45408</c:v>
                </c:pt>
                <c:pt idx="246">
                  <c:v>45407</c:v>
                </c:pt>
                <c:pt idx="247">
                  <c:v>45406</c:v>
                </c:pt>
                <c:pt idx="248">
                  <c:v>45405</c:v>
                </c:pt>
                <c:pt idx="249">
                  <c:v>45404</c:v>
                </c:pt>
                <c:pt idx="250">
                  <c:v>45401</c:v>
                </c:pt>
                <c:pt idx="251">
                  <c:v>45400</c:v>
                </c:pt>
                <c:pt idx="252">
                  <c:v>45399</c:v>
                </c:pt>
                <c:pt idx="253">
                  <c:v>45398</c:v>
                </c:pt>
                <c:pt idx="254">
                  <c:v>45397</c:v>
                </c:pt>
                <c:pt idx="255">
                  <c:v>45394</c:v>
                </c:pt>
                <c:pt idx="256">
                  <c:v>45393</c:v>
                </c:pt>
                <c:pt idx="257">
                  <c:v>45392</c:v>
                </c:pt>
                <c:pt idx="258">
                  <c:v>45391</c:v>
                </c:pt>
                <c:pt idx="259">
                  <c:v>45390</c:v>
                </c:pt>
                <c:pt idx="260">
                  <c:v>45387</c:v>
                </c:pt>
                <c:pt idx="261">
                  <c:v>45386</c:v>
                </c:pt>
                <c:pt idx="262">
                  <c:v>45385</c:v>
                </c:pt>
                <c:pt idx="263">
                  <c:v>45384</c:v>
                </c:pt>
                <c:pt idx="264">
                  <c:v>45383</c:v>
                </c:pt>
                <c:pt idx="265">
                  <c:v>45379</c:v>
                </c:pt>
                <c:pt idx="266">
                  <c:v>45378</c:v>
                </c:pt>
                <c:pt idx="267">
                  <c:v>45377</c:v>
                </c:pt>
                <c:pt idx="268">
                  <c:v>45376</c:v>
                </c:pt>
                <c:pt idx="269">
                  <c:v>45373</c:v>
                </c:pt>
                <c:pt idx="270">
                  <c:v>45372</c:v>
                </c:pt>
                <c:pt idx="271">
                  <c:v>45371</c:v>
                </c:pt>
                <c:pt idx="272">
                  <c:v>45370</c:v>
                </c:pt>
                <c:pt idx="273">
                  <c:v>45369</c:v>
                </c:pt>
                <c:pt idx="274">
                  <c:v>45366</c:v>
                </c:pt>
                <c:pt idx="275">
                  <c:v>45365</c:v>
                </c:pt>
                <c:pt idx="276">
                  <c:v>45364</c:v>
                </c:pt>
                <c:pt idx="277">
                  <c:v>45363</c:v>
                </c:pt>
                <c:pt idx="278">
                  <c:v>45362</c:v>
                </c:pt>
                <c:pt idx="279">
                  <c:v>45359</c:v>
                </c:pt>
                <c:pt idx="280">
                  <c:v>45358</c:v>
                </c:pt>
                <c:pt idx="281">
                  <c:v>45357</c:v>
                </c:pt>
                <c:pt idx="282">
                  <c:v>45356</c:v>
                </c:pt>
                <c:pt idx="283">
                  <c:v>45355</c:v>
                </c:pt>
                <c:pt idx="284">
                  <c:v>45352</c:v>
                </c:pt>
                <c:pt idx="285">
                  <c:v>45351</c:v>
                </c:pt>
                <c:pt idx="286">
                  <c:v>45350</c:v>
                </c:pt>
                <c:pt idx="287">
                  <c:v>45349</c:v>
                </c:pt>
                <c:pt idx="288">
                  <c:v>45348</c:v>
                </c:pt>
                <c:pt idx="289">
                  <c:v>45345</c:v>
                </c:pt>
                <c:pt idx="290">
                  <c:v>45344</c:v>
                </c:pt>
                <c:pt idx="291">
                  <c:v>45343</c:v>
                </c:pt>
                <c:pt idx="292">
                  <c:v>45342</c:v>
                </c:pt>
                <c:pt idx="293">
                  <c:v>45338</c:v>
                </c:pt>
                <c:pt idx="294">
                  <c:v>45337</c:v>
                </c:pt>
                <c:pt idx="295">
                  <c:v>45336</c:v>
                </c:pt>
                <c:pt idx="296">
                  <c:v>45335</c:v>
                </c:pt>
                <c:pt idx="297">
                  <c:v>45334</c:v>
                </c:pt>
                <c:pt idx="298">
                  <c:v>45331</c:v>
                </c:pt>
                <c:pt idx="299">
                  <c:v>45330</c:v>
                </c:pt>
                <c:pt idx="300">
                  <c:v>45329</c:v>
                </c:pt>
                <c:pt idx="301">
                  <c:v>45328</c:v>
                </c:pt>
                <c:pt idx="302">
                  <c:v>45327</c:v>
                </c:pt>
                <c:pt idx="303">
                  <c:v>45324</c:v>
                </c:pt>
                <c:pt idx="304">
                  <c:v>45323</c:v>
                </c:pt>
                <c:pt idx="305">
                  <c:v>45322</c:v>
                </c:pt>
                <c:pt idx="306">
                  <c:v>45321</c:v>
                </c:pt>
                <c:pt idx="307">
                  <c:v>45320</c:v>
                </c:pt>
                <c:pt idx="308">
                  <c:v>45317</c:v>
                </c:pt>
                <c:pt idx="309">
                  <c:v>45316</c:v>
                </c:pt>
                <c:pt idx="310">
                  <c:v>45315</c:v>
                </c:pt>
                <c:pt idx="311">
                  <c:v>45314</c:v>
                </c:pt>
                <c:pt idx="312">
                  <c:v>45313</c:v>
                </c:pt>
                <c:pt idx="313">
                  <c:v>45310</c:v>
                </c:pt>
                <c:pt idx="314">
                  <c:v>45309</c:v>
                </c:pt>
                <c:pt idx="315">
                  <c:v>45308</c:v>
                </c:pt>
                <c:pt idx="316">
                  <c:v>45307</c:v>
                </c:pt>
                <c:pt idx="317">
                  <c:v>45303</c:v>
                </c:pt>
                <c:pt idx="318">
                  <c:v>45302</c:v>
                </c:pt>
                <c:pt idx="319">
                  <c:v>45301</c:v>
                </c:pt>
                <c:pt idx="320">
                  <c:v>45300</c:v>
                </c:pt>
                <c:pt idx="321">
                  <c:v>45299</c:v>
                </c:pt>
                <c:pt idx="322">
                  <c:v>45296</c:v>
                </c:pt>
                <c:pt idx="323">
                  <c:v>45295</c:v>
                </c:pt>
                <c:pt idx="324">
                  <c:v>45294</c:v>
                </c:pt>
                <c:pt idx="325">
                  <c:v>45293</c:v>
                </c:pt>
                <c:pt idx="326">
                  <c:v>45289</c:v>
                </c:pt>
                <c:pt idx="327">
                  <c:v>45288</c:v>
                </c:pt>
                <c:pt idx="328">
                  <c:v>45287</c:v>
                </c:pt>
                <c:pt idx="329">
                  <c:v>45286</c:v>
                </c:pt>
                <c:pt idx="330">
                  <c:v>45282</c:v>
                </c:pt>
                <c:pt idx="331">
                  <c:v>45281</c:v>
                </c:pt>
                <c:pt idx="332">
                  <c:v>45280</c:v>
                </c:pt>
                <c:pt idx="333">
                  <c:v>45279</c:v>
                </c:pt>
                <c:pt idx="334">
                  <c:v>45278</c:v>
                </c:pt>
                <c:pt idx="335">
                  <c:v>45275</c:v>
                </c:pt>
                <c:pt idx="336">
                  <c:v>45274</c:v>
                </c:pt>
                <c:pt idx="337">
                  <c:v>45273</c:v>
                </c:pt>
                <c:pt idx="338">
                  <c:v>45272</c:v>
                </c:pt>
                <c:pt idx="339">
                  <c:v>45271</c:v>
                </c:pt>
                <c:pt idx="340">
                  <c:v>45268</c:v>
                </c:pt>
                <c:pt idx="341">
                  <c:v>45267</c:v>
                </c:pt>
                <c:pt idx="342">
                  <c:v>45266</c:v>
                </c:pt>
                <c:pt idx="343">
                  <c:v>45265</c:v>
                </c:pt>
                <c:pt idx="344">
                  <c:v>45264</c:v>
                </c:pt>
                <c:pt idx="345">
                  <c:v>45261</c:v>
                </c:pt>
                <c:pt idx="346">
                  <c:v>45260</c:v>
                </c:pt>
                <c:pt idx="347">
                  <c:v>45259</c:v>
                </c:pt>
                <c:pt idx="348">
                  <c:v>45258</c:v>
                </c:pt>
                <c:pt idx="349">
                  <c:v>45257</c:v>
                </c:pt>
                <c:pt idx="350">
                  <c:v>45254</c:v>
                </c:pt>
                <c:pt idx="351">
                  <c:v>45252</c:v>
                </c:pt>
                <c:pt idx="352">
                  <c:v>45251</c:v>
                </c:pt>
                <c:pt idx="353">
                  <c:v>45250</c:v>
                </c:pt>
                <c:pt idx="354">
                  <c:v>45247</c:v>
                </c:pt>
                <c:pt idx="355">
                  <c:v>45246</c:v>
                </c:pt>
                <c:pt idx="356">
                  <c:v>45245</c:v>
                </c:pt>
                <c:pt idx="357">
                  <c:v>45244</c:v>
                </c:pt>
                <c:pt idx="358">
                  <c:v>45243</c:v>
                </c:pt>
                <c:pt idx="359">
                  <c:v>45240</c:v>
                </c:pt>
                <c:pt idx="360">
                  <c:v>45239</c:v>
                </c:pt>
                <c:pt idx="361">
                  <c:v>45238</c:v>
                </c:pt>
                <c:pt idx="362">
                  <c:v>45237</c:v>
                </c:pt>
                <c:pt idx="363">
                  <c:v>45236</c:v>
                </c:pt>
                <c:pt idx="364">
                  <c:v>45233</c:v>
                </c:pt>
                <c:pt idx="365">
                  <c:v>45232</c:v>
                </c:pt>
                <c:pt idx="366">
                  <c:v>45231</c:v>
                </c:pt>
                <c:pt idx="367">
                  <c:v>45230</c:v>
                </c:pt>
                <c:pt idx="368">
                  <c:v>45229</c:v>
                </c:pt>
                <c:pt idx="369">
                  <c:v>45226</c:v>
                </c:pt>
                <c:pt idx="370">
                  <c:v>45225</c:v>
                </c:pt>
                <c:pt idx="371">
                  <c:v>45224</c:v>
                </c:pt>
                <c:pt idx="372">
                  <c:v>45223</c:v>
                </c:pt>
                <c:pt idx="373">
                  <c:v>45222</c:v>
                </c:pt>
                <c:pt idx="374">
                  <c:v>45219</c:v>
                </c:pt>
                <c:pt idx="375">
                  <c:v>45218</c:v>
                </c:pt>
                <c:pt idx="376">
                  <c:v>45217</c:v>
                </c:pt>
                <c:pt idx="377">
                  <c:v>45216</c:v>
                </c:pt>
                <c:pt idx="378">
                  <c:v>45215</c:v>
                </c:pt>
                <c:pt idx="379">
                  <c:v>45212</c:v>
                </c:pt>
                <c:pt idx="380">
                  <c:v>45211</c:v>
                </c:pt>
                <c:pt idx="381">
                  <c:v>45210</c:v>
                </c:pt>
                <c:pt idx="382">
                  <c:v>45209</c:v>
                </c:pt>
                <c:pt idx="383">
                  <c:v>45208</c:v>
                </c:pt>
                <c:pt idx="384">
                  <c:v>45205</c:v>
                </c:pt>
                <c:pt idx="385">
                  <c:v>45204</c:v>
                </c:pt>
                <c:pt idx="386">
                  <c:v>45203</c:v>
                </c:pt>
                <c:pt idx="387">
                  <c:v>45202</c:v>
                </c:pt>
                <c:pt idx="388">
                  <c:v>45201</c:v>
                </c:pt>
                <c:pt idx="389">
                  <c:v>45198</c:v>
                </c:pt>
                <c:pt idx="390">
                  <c:v>45197</c:v>
                </c:pt>
                <c:pt idx="391">
                  <c:v>45196</c:v>
                </c:pt>
                <c:pt idx="392">
                  <c:v>45195</c:v>
                </c:pt>
                <c:pt idx="393">
                  <c:v>45194</c:v>
                </c:pt>
                <c:pt idx="394">
                  <c:v>45191</c:v>
                </c:pt>
                <c:pt idx="395">
                  <c:v>45190</c:v>
                </c:pt>
                <c:pt idx="396">
                  <c:v>45189</c:v>
                </c:pt>
                <c:pt idx="397">
                  <c:v>45188</c:v>
                </c:pt>
                <c:pt idx="398">
                  <c:v>45187</c:v>
                </c:pt>
                <c:pt idx="399">
                  <c:v>45184</c:v>
                </c:pt>
                <c:pt idx="400">
                  <c:v>45183</c:v>
                </c:pt>
                <c:pt idx="401">
                  <c:v>45182</c:v>
                </c:pt>
                <c:pt idx="402">
                  <c:v>45181</c:v>
                </c:pt>
                <c:pt idx="403">
                  <c:v>45180</c:v>
                </c:pt>
                <c:pt idx="404">
                  <c:v>45177</c:v>
                </c:pt>
                <c:pt idx="405">
                  <c:v>45176</c:v>
                </c:pt>
                <c:pt idx="406">
                  <c:v>45175</c:v>
                </c:pt>
                <c:pt idx="407">
                  <c:v>45174</c:v>
                </c:pt>
                <c:pt idx="408">
                  <c:v>45170</c:v>
                </c:pt>
                <c:pt idx="409">
                  <c:v>45169</c:v>
                </c:pt>
                <c:pt idx="410">
                  <c:v>45168</c:v>
                </c:pt>
                <c:pt idx="411">
                  <c:v>45167</c:v>
                </c:pt>
                <c:pt idx="412">
                  <c:v>45166</c:v>
                </c:pt>
                <c:pt idx="413">
                  <c:v>45163</c:v>
                </c:pt>
                <c:pt idx="414">
                  <c:v>45162</c:v>
                </c:pt>
                <c:pt idx="415">
                  <c:v>45161</c:v>
                </c:pt>
                <c:pt idx="416">
                  <c:v>45160</c:v>
                </c:pt>
                <c:pt idx="417">
                  <c:v>45159</c:v>
                </c:pt>
                <c:pt idx="418">
                  <c:v>45156</c:v>
                </c:pt>
                <c:pt idx="419">
                  <c:v>45155</c:v>
                </c:pt>
                <c:pt idx="420">
                  <c:v>45154</c:v>
                </c:pt>
                <c:pt idx="421">
                  <c:v>45153</c:v>
                </c:pt>
                <c:pt idx="422">
                  <c:v>45152</c:v>
                </c:pt>
                <c:pt idx="423">
                  <c:v>45149</c:v>
                </c:pt>
                <c:pt idx="424">
                  <c:v>45148</c:v>
                </c:pt>
                <c:pt idx="425">
                  <c:v>45147</c:v>
                </c:pt>
                <c:pt idx="426">
                  <c:v>45146</c:v>
                </c:pt>
                <c:pt idx="427">
                  <c:v>45145</c:v>
                </c:pt>
                <c:pt idx="428">
                  <c:v>45142</c:v>
                </c:pt>
                <c:pt idx="429">
                  <c:v>45141</c:v>
                </c:pt>
                <c:pt idx="430">
                  <c:v>45140</c:v>
                </c:pt>
                <c:pt idx="431">
                  <c:v>45139</c:v>
                </c:pt>
                <c:pt idx="432">
                  <c:v>45138</c:v>
                </c:pt>
                <c:pt idx="433">
                  <c:v>45135</c:v>
                </c:pt>
                <c:pt idx="434">
                  <c:v>45134</c:v>
                </c:pt>
                <c:pt idx="435">
                  <c:v>45133</c:v>
                </c:pt>
                <c:pt idx="436">
                  <c:v>45132</c:v>
                </c:pt>
                <c:pt idx="437">
                  <c:v>45131</c:v>
                </c:pt>
                <c:pt idx="438">
                  <c:v>45128</c:v>
                </c:pt>
                <c:pt idx="439">
                  <c:v>45127</c:v>
                </c:pt>
                <c:pt idx="440">
                  <c:v>45126</c:v>
                </c:pt>
                <c:pt idx="441">
                  <c:v>45125</c:v>
                </c:pt>
                <c:pt idx="442">
                  <c:v>45124</c:v>
                </c:pt>
                <c:pt idx="443">
                  <c:v>45121</c:v>
                </c:pt>
                <c:pt idx="444">
                  <c:v>45120</c:v>
                </c:pt>
                <c:pt idx="445">
                  <c:v>45119</c:v>
                </c:pt>
                <c:pt idx="446">
                  <c:v>45118</c:v>
                </c:pt>
                <c:pt idx="447">
                  <c:v>45117</c:v>
                </c:pt>
                <c:pt idx="448">
                  <c:v>45114</c:v>
                </c:pt>
                <c:pt idx="449">
                  <c:v>45113</c:v>
                </c:pt>
                <c:pt idx="450">
                  <c:v>45112</c:v>
                </c:pt>
                <c:pt idx="451">
                  <c:v>45110</c:v>
                </c:pt>
                <c:pt idx="452">
                  <c:v>45107</c:v>
                </c:pt>
                <c:pt idx="453">
                  <c:v>45106</c:v>
                </c:pt>
                <c:pt idx="454">
                  <c:v>45105</c:v>
                </c:pt>
                <c:pt idx="455">
                  <c:v>45104</c:v>
                </c:pt>
                <c:pt idx="456">
                  <c:v>45103</c:v>
                </c:pt>
                <c:pt idx="457">
                  <c:v>45100</c:v>
                </c:pt>
                <c:pt idx="458">
                  <c:v>45099</c:v>
                </c:pt>
                <c:pt idx="459">
                  <c:v>45098</c:v>
                </c:pt>
                <c:pt idx="460">
                  <c:v>45097</c:v>
                </c:pt>
                <c:pt idx="461">
                  <c:v>45093</c:v>
                </c:pt>
                <c:pt idx="462">
                  <c:v>45092</c:v>
                </c:pt>
                <c:pt idx="463">
                  <c:v>45091</c:v>
                </c:pt>
                <c:pt idx="464">
                  <c:v>45090</c:v>
                </c:pt>
                <c:pt idx="465">
                  <c:v>45089</c:v>
                </c:pt>
                <c:pt idx="466">
                  <c:v>45086</c:v>
                </c:pt>
                <c:pt idx="467">
                  <c:v>45085</c:v>
                </c:pt>
                <c:pt idx="468">
                  <c:v>45084</c:v>
                </c:pt>
                <c:pt idx="469">
                  <c:v>45083</c:v>
                </c:pt>
                <c:pt idx="470">
                  <c:v>45082</c:v>
                </c:pt>
                <c:pt idx="471">
                  <c:v>45079</c:v>
                </c:pt>
                <c:pt idx="472">
                  <c:v>45078</c:v>
                </c:pt>
                <c:pt idx="473">
                  <c:v>45077</c:v>
                </c:pt>
                <c:pt idx="474">
                  <c:v>45076</c:v>
                </c:pt>
                <c:pt idx="475">
                  <c:v>45072</c:v>
                </c:pt>
                <c:pt idx="476">
                  <c:v>45071</c:v>
                </c:pt>
                <c:pt idx="477">
                  <c:v>45070</c:v>
                </c:pt>
                <c:pt idx="478">
                  <c:v>45069</c:v>
                </c:pt>
                <c:pt idx="479">
                  <c:v>45068</c:v>
                </c:pt>
                <c:pt idx="480">
                  <c:v>45065</c:v>
                </c:pt>
                <c:pt idx="481">
                  <c:v>45064</c:v>
                </c:pt>
                <c:pt idx="482">
                  <c:v>45063</c:v>
                </c:pt>
                <c:pt idx="483">
                  <c:v>45062</c:v>
                </c:pt>
                <c:pt idx="484">
                  <c:v>45061</c:v>
                </c:pt>
                <c:pt idx="485">
                  <c:v>45058</c:v>
                </c:pt>
                <c:pt idx="486">
                  <c:v>45057</c:v>
                </c:pt>
                <c:pt idx="487">
                  <c:v>45056</c:v>
                </c:pt>
                <c:pt idx="488">
                  <c:v>45055</c:v>
                </c:pt>
                <c:pt idx="489">
                  <c:v>45054</c:v>
                </c:pt>
                <c:pt idx="490">
                  <c:v>45051</c:v>
                </c:pt>
                <c:pt idx="491">
                  <c:v>45050</c:v>
                </c:pt>
                <c:pt idx="492">
                  <c:v>45049</c:v>
                </c:pt>
                <c:pt idx="493">
                  <c:v>45048</c:v>
                </c:pt>
                <c:pt idx="494">
                  <c:v>45047</c:v>
                </c:pt>
                <c:pt idx="495">
                  <c:v>45044</c:v>
                </c:pt>
                <c:pt idx="496">
                  <c:v>45043</c:v>
                </c:pt>
                <c:pt idx="497">
                  <c:v>45042</c:v>
                </c:pt>
                <c:pt idx="498">
                  <c:v>45041</c:v>
                </c:pt>
                <c:pt idx="499">
                  <c:v>45040</c:v>
                </c:pt>
                <c:pt idx="500">
                  <c:v>45037</c:v>
                </c:pt>
                <c:pt idx="501">
                  <c:v>45036</c:v>
                </c:pt>
                <c:pt idx="502">
                  <c:v>45035</c:v>
                </c:pt>
                <c:pt idx="503">
                  <c:v>45034</c:v>
                </c:pt>
                <c:pt idx="504">
                  <c:v>45033</c:v>
                </c:pt>
                <c:pt idx="505">
                  <c:v>45030</c:v>
                </c:pt>
                <c:pt idx="506">
                  <c:v>45029</c:v>
                </c:pt>
                <c:pt idx="507">
                  <c:v>45028</c:v>
                </c:pt>
                <c:pt idx="508">
                  <c:v>45027</c:v>
                </c:pt>
                <c:pt idx="509">
                  <c:v>45026</c:v>
                </c:pt>
                <c:pt idx="510">
                  <c:v>45022</c:v>
                </c:pt>
                <c:pt idx="511">
                  <c:v>45021</c:v>
                </c:pt>
                <c:pt idx="512">
                  <c:v>45020</c:v>
                </c:pt>
                <c:pt idx="513">
                  <c:v>45019</c:v>
                </c:pt>
                <c:pt idx="514">
                  <c:v>45016</c:v>
                </c:pt>
                <c:pt idx="515">
                  <c:v>45015</c:v>
                </c:pt>
                <c:pt idx="516">
                  <c:v>45014</c:v>
                </c:pt>
                <c:pt idx="517">
                  <c:v>45013</c:v>
                </c:pt>
                <c:pt idx="518">
                  <c:v>45012</c:v>
                </c:pt>
                <c:pt idx="519">
                  <c:v>45009</c:v>
                </c:pt>
                <c:pt idx="520">
                  <c:v>45008</c:v>
                </c:pt>
                <c:pt idx="521">
                  <c:v>45007</c:v>
                </c:pt>
                <c:pt idx="522">
                  <c:v>45006</c:v>
                </c:pt>
                <c:pt idx="523">
                  <c:v>45005</c:v>
                </c:pt>
                <c:pt idx="524">
                  <c:v>45002</c:v>
                </c:pt>
                <c:pt idx="525">
                  <c:v>45001</c:v>
                </c:pt>
                <c:pt idx="526">
                  <c:v>45000</c:v>
                </c:pt>
                <c:pt idx="527">
                  <c:v>44999</c:v>
                </c:pt>
                <c:pt idx="528">
                  <c:v>44998</c:v>
                </c:pt>
                <c:pt idx="529">
                  <c:v>44995</c:v>
                </c:pt>
                <c:pt idx="530">
                  <c:v>44994</c:v>
                </c:pt>
                <c:pt idx="531">
                  <c:v>44993</c:v>
                </c:pt>
                <c:pt idx="532">
                  <c:v>44992</c:v>
                </c:pt>
                <c:pt idx="533">
                  <c:v>44991</c:v>
                </c:pt>
                <c:pt idx="534">
                  <c:v>44988</c:v>
                </c:pt>
                <c:pt idx="535">
                  <c:v>44987</c:v>
                </c:pt>
                <c:pt idx="536">
                  <c:v>44986</c:v>
                </c:pt>
                <c:pt idx="537">
                  <c:v>44985</c:v>
                </c:pt>
                <c:pt idx="538">
                  <c:v>44984</c:v>
                </c:pt>
                <c:pt idx="539">
                  <c:v>44981</c:v>
                </c:pt>
                <c:pt idx="540">
                  <c:v>44980</c:v>
                </c:pt>
                <c:pt idx="541">
                  <c:v>44979</c:v>
                </c:pt>
                <c:pt idx="542">
                  <c:v>44978</c:v>
                </c:pt>
                <c:pt idx="543">
                  <c:v>44974</c:v>
                </c:pt>
                <c:pt idx="544">
                  <c:v>44973</c:v>
                </c:pt>
                <c:pt idx="545">
                  <c:v>44972</c:v>
                </c:pt>
                <c:pt idx="546">
                  <c:v>44971</c:v>
                </c:pt>
                <c:pt idx="547">
                  <c:v>44970</c:v>
                </c:pt>
                <c:pt idx="548">
                  <c:v>44967</c:v>
                </c:pt>
                <c:pt idx="549">
                  <c:v>44966</c:v>
                </c:pt>
                <c:pt idx="550">
                  <c:v>44965</c:v>
                </c:pt>
                <c:pt idx="551">
                  <c:v>44964</c:v>
                </c:pt>
                <c:pt idx="552">
                  <c:v>44963</c:v>
                </c:pt>
                <c:pt idx="553">
                  <c:v>44960</c:v>
                </c:pt>
                <c:pt idx="554">
                  <c:v>44959</c:v>
                </c:pt>
                <c:pt idx="555">
                  <c:v>44958</c:v>
                </c:pt>
                <c:pt idx="556">
                  <c:v>44957</c:v>
                </c:pt>
                <c:pt idx="557">
                  <c:v>44956</c:v>
                </c:pt>
                <c:pt idx="558">
                  <c:v>44953</c:v>
                </c:pt>
                <c:pt idx="559">
                  <c:v>44952</c:v>
                </c:pt>
                <c:pt idx="560">
                  <c:v>44951</c:v>
                </c:pt>
                <c:pt idx="561">
                  <c:v>44950</c:v>
                </c:pt>
                <c:pt idx="562">
                  <c:v>44949</c:v>
                </c:pt>
                <c:pt idx="563">
                  <c:v>44946</c:v>
                </c:pt>
                <c:pt idx="564">
                  <c:v>44945</c:v>
                </c:pt>
                <c:pt idx="565">
                  <c:v>44944</c:v>
                </c:pt>
                <c:pt idx="566">
                  <c:v>44943</c:v>
                </c:pt>
                <c:pt idx="567">
                  <c:v>44939</c:v>
                </c:pt>
                <c:pt idx="568">
                  <c:v>44938</c:v>
                </c:pt>
                <c:pt idx="569">
                  <c:v>44937</c:v>
                </c:pt>
                <c:pt idx="570">
                  <c:v>44936</c:v>
                </c:pt>
                <c:pt idx="571">
                  <c:v>44935</c:v>
                </c:pt>
                <c:pt idx="572">
                  <c:v>44932</c:v>
                </c:pt>
                <c:pt idx="573">
                  <c:v>44931</c:v>
                </c:pt>
                <c:pt idx="574">
                  <c:v>44930</c:v>
                </c:pt>
                <c:pt idx="575">
                  <c:v>44929</c:v>
                </c:pt>
                <c:pt idx="576">
                  <c:v>44925</c:v>
                </c:pt>
                <c:pt idx="577">
                  <c:v>44924</c:v>
                </c:pt>
                <c:pt idx="578">
                  <c:v>44923</c:v>
                </c:pt>
                <c:pt idx="579">
                  <c:v>44922</c:v>
                </c:pt>
                <c:pt idx="580">
                  <c:v>44918</c:v>
                </c:pt>
                <c:pt idx="581">
                  <c:v>44917</c:v>
                </c:pt>
                <c:pt idx="582">
                  <c:v>44916</c:v>
                </c:pt>
                <c:pt idx="583">
                  <c:v>44915</c:v>
                </c:pt>
                <c:pt idx="584">
                  <c:v>44914</c:v>
                </c:pt>
                <c:pt idx="585">
                  <c:v>44911</c:v>
                </c:pt>
                <c:pt idx="586">
                  <c:v>44910</c:v>
                </c:pt>
                <c:pt idx="587">
                  <c:v>44909</c:v>
                </c:pt>
                <c:pt idx="588">
                  <c:v>44908</c:v>
                </c:pt>
                <c:pt idx="589">
                  <c:v>44907</c:v>
                </c:pt>
                <c:pt idx="590">
                  <c:v>44904</c:v>
                </c:pt>
                <c:pt idx="591">
                  <c:v>44903</c:v>
                </c:pt>
                <c:pt idx="592">
                  <c:v>44902</c:v>
                </c:pt>
                <c:pt idx="593">
                  <c:v>44901</c:v>
                </c:pt>
                <c:pt idx="594">
                  <c:v>44900</c:v>
                </c:pt>
                <c:pt idx="595">
                  <c:v>44897</c:v>
                </c:pt>
                <c:pt idx="596">
                  <c:v>44896</c:v>
                </c:pt>
                <c:pt idx="597">
                  <c:v>44895</c:v>
                </c:pt>
                <c:pt idx="598">
                  <c:v>44894</c:v>
                </c:pt>
                <c:pt idx="599">
                  <c:v>44893</c:v>
                </c:pt>
                <c:pt idx="600">
                  <c:v>44890</c:v>
                </c:pt>
                <c:pt idx="601">
                  <c:v>44888</c:v>
                </c:pt>
                <c:pt idx="602">
                  <c:v>44887</c:v>
                </c:pt>
                <c:pt idx="603">
                  <c:v>44886</c:v>
                </c:pt>
                <c:pt idx="604">
                  <c:v>44883</c:v>
                </c:pt>
                <c:pt idx="605">
                  <c:v>44882</c:v>
                </c:pt>
                <c:pt idx="606">
                  <c:v>44881</c:v>
                </c:pt>
                <c:pt idx="607">
                  <c:v>44880</c:v>
                </c:pt>
                <c:pt idx="608">
                  <c:v>44879</c:v>
                </c:pt>
                <c:pt idx="609">
                  <c:v>44876</c:v>
                </c:pt>
                <c:pt idx="610">
                  <c:v>44875</c:v>
                </c:pt>
                <c:pt idx="611">
                  <c:v>44874</c:v>
                </c:pt>
                <c:pt idx="612">
                  <c:v>44873</c:v>
                </c:pt>
                <c:pt idx="613">
                  <c:v>44872</c:v>
                </c:pt>
                <c:pt idx="614">
                  <c:v>44869</c:v>
                </c:pt>
                <c:pt idx="615">
                  <c:v>44868</c:v>
                </c:pt>
                <c:pt idx="616">
                  <c:v>44867</c:v>
                </c:pt>
                <c:pt idx="617">
                  <c:v>44866</c:v>
                </c:pt>
                <c:pt idx="618">
                  <c:v>44865</c:v>
                </c:pt>
                <c:pt idx="619">
                  <c:v>44862</c:v>
                </c:pt>
                <c:pt idx="620">
                  <c:v>44861</c:v>
                </c:pt>
                <c:pt idx="621">
                  <c:v>44860</c:v>
                </c:pt>
                <c:pt idx="622">
                  <c:v>44859</c:v>
                </c:pt>
                <c:pt idx="623">
                  <c:v>44858</c:v>
                </c:pt>
                <c:pt idx="624">
                  <c:v>44855</c:v>
                </c:pt>
                <c:pt idx="625">
                  <c:v>44854</c:v>
                </c:pt>
                <c:pt idx="626">
                  <c:v>44853</c:v>
                </c:pt>
                <c:pt idx="627">
                  <c:v>44852</c:v>
                </c:pt>
                <c:pt idx="628">
                  <c:v>44851</c:v>
                </c:pt>
                <c:pt idx="629">
                  <c:v>44848</c:v>
                </c:pt>
                <c:pt idx="630">
                  <c:v>44847</c:v>
                </c:pt>
                <c:pt idx="631">
                  <c:v>44846</c:v>
                </c:pt>
                <c:pt idx="632">
                  <c:v>44845</c:v>
                </c:pt>
                <c:pt idx="633">
                  <c:v>44844</c:v>
                </c:pt>
                <c:pt idx="634">
                  <c:v>44841</c:v>
                </c:pt>
                <c:pt idx="635">
                  <c:v>44840</c:v>
                </c:pt>
                <c:pt idx="636">
                  <c:v>44839</c:v>
                </c:pt>
                <c:pt idx="637">
                  <c:v>44838</c:v>
                </c:pt>
                <c:pt idx="638">
                  <c:v>44837</c:v>
                </c:pt>
                <c:pt idx="639">
                  <c:v>44834</c:v>
                </c:pt>
                <c:pt idx="640">
                  <c:v>44833</c:v>
                </c:pt>
                <c:pt idx="641">
                  <c:v>44832</c:v>
                </c:pt>
                <c:pt idx="642">
                  <c:v>44831</c:v>
                </c:pt>
                <c:pt idx="643">
                  <c:v>44830</c:v>
                </c:pt>
                <c:pt idx="644">
                  <c:v>44827</c:v>
                </c:pt>
                <c:pt idx="645">
                  <c:v>44826</c:v>
                </c:pt>
                <c:pt idx="646">
                  <c:v>44825</c:v>
                </c:pt>
                <c:pt idx="647">
                  <c:v>44824</c:v>
                </c:pt>
                <c:pt idx="648">
                  <c:v>44823</c:v>
                </c:pt>
                <c:pt idx="649">
                  <c:v>44820</c:v>
                </c:pt>
                <c:pt idx="650">
                  <c:v>44819</c:v>
                </c:pt>
                <c:pt idx="651">
                  <c:v>44818</c:v>
                </c:pt>
                <c:pt idx="652">
                  <c:v>44817</c:v>
                </c:pt>
                <c:pt idx="653">
                  <c:v>44816</c:v>
                </c:pt>
                <c:pt idx="654">
                  <c:v>44813</c:v>
                </c:pt>
                <c:pt idx="655">
                  <c:v>44812</c:v>
                </c:pt>
                <c:pt idx="656">
                  <c:v>44811</c:v>
                </c:pt>
                <c:pt idx="657">
                  <c:v>44810</c:v>
                </c:pt>
                <c:pt idx="658">
                  <c:v>44806</c:v>
                </c:pt>
                <c:pt idx="659">
                  <c:v>44805</c:v>
                </c:pt>
                <c:pt idx="660">
                  <c:v>44804</c:v>
                </c:pt>
                <c:pt idx="661">
                  <c:v>44803</c:v>
                </c:pt>
                <c:pt idx="662">
                  <c:v>44802</c:v>
                </c:pt>
                <c:pt idx="663">
                  <c:v>44799</c:v>
                </c:pt>
                <c:pt idx="664">
                  <c:v>44798</c:v>
                </c:pt>
                <c:pt idx="665">
                  <c:v>44797</c:v>
                </c:pt>
                <c:pt idx="666">
                  <c:v>44796</c:v>
                </c:pt>
                <c:pt idx="667">
                  <c:v>44795</c:v>
                </c:pt>
                <c:pt idx="668">
                  <c:v>44792</c:v>
                </c:pt>
                <c:pt idx="669">
                  <c:v>44791</c:v>
                </c:pt>
                <c:pt idx="670">
                  <c:v>44790</c:v>
                </c:pt>
                <c:pt idx="671">
                  <c:v>44789</c:v>
                </c:pt>
                <c:pt idx="672">
                  <c:v>44788</c:v>
                </c:pt>
                <c:pt idx="673">
                  <c:v>44785</c:v>
                </c:pt>
                <c:pt idx="674">
                  <c:v>44784</c:v>
                </c:pt>
                <c:pt idx="675">
                  <c:v>44783</c:v>
                </c:pt>
                <c:pt idx="676">
                  <c:v>44782</c:v>
                </c:pt>
                <c:pt idx="677">
                  <c:v>44781</c:v>
                </c:pt>
                <c:pt idx="678">
                  <c:v>44778</c:v>
                </c:pt>
                <c:pt idx="679">
                  <c:v>44777</c:v>
                </c:pt>
                <c:pt idx="680">
                  <c:v>44776</c:v>
                </c:pt>
                <c:pt idx="681">
                  <c:v>44775</c:v>
                </c:pt>
                <c:pt idx="682">
                  <c:v>44774</c:v>
                </c:pt>
                <c:pt idx="683">
                  <c:v>44771</c:v>
                </c:pt>
                <c:pt idx="684">
                  <c:v>44770</c:v>
                </c:pt>
                <c:pt idx="685">
                  <c:v>44769</c:v>
                </c:pt>
                <c:pt idx="686">
                  <c:v>44768</c:v>
                </c:pt>
                <c:pt idx="687">
                  <c:v>44767</c:v>
                </c:pt>
                <c:pt idx="688">
                  <c:v>44764</c:v>
                </c:pt>
                <c:pt idx="689">
                  <c:v>44763</c:v>
                </c:pt>
                <c:pt idx="690">
                  <c:v>44762</c:v>
                </c:pt>
                <c:pt idx="691">
                  <c:v>44761</c:v>
                </c:pt>
                <c:pt idx="692">
                  <c:v>44760</c:v>
                </c:pt>
                <c:pt idx="693">
                  <c:v>44757</c:v>
                </c:pt>
                <c:pt idx="694">
                  <c:v>44756</c:v>
                </c:pt>
                <c:pt idx="695">
                  <c:v>44755</c:v>
                </c:pt>
                <c:pt idx="696">
                  <c:v>44754</c:v>
                </c:pt>
                <c:pt idx="697">
                  <c:v>44753</c:v>
                </c:pt>
                <c:pt idx="698">
                  <c:v>44750</c:v>
                </c:pt>
                <c:pt idx="699">
                  <c:v>44749</c:v>
                </c:pt>
                <c:pt idx="700">
                  <c:v>44748</c:v>
                </c:pt>
                <c:pt idx="701">
                  <c:v>44747</c:v>
                </c:pt>
                <c:pt idx="702">
                  <c:v>44743</c:v>
                </c:pt>
                <c:pt idx="703">
                  <c:v>44742</c:v>
                </c:pt>
                <c:pt idx="704">
                  <c:v>44741</c:v>
                </c:pt>
                <c:pt idx="705">
                  <c:v>44740</c:v>
                </c:pt>
                <c:pt idx="706">
                  <c:v>44739</c:v>
                </c:pt>
                <c:pt idx="707">
                  <c:v>44736</c:v>
                </c:pt>
                <c:pt idx="708">
                  <c:v>44735</c:v>
                </c:pt>
                <c:pt idx="709">
                  <c:v>44734</c:v>
                </c:pt>
                <c:pt idx="710">
                  <c:v>44733</c:v>
                </c:pt>
                <c:pt idx="711">
                  <c:v>44729</c:v>
                </c:pt>
                <c:pt idx="712">
                  <c:v>44728</c:v>
                </c:pt>
                <c:pt idx="713">
                  <c:v>44727</c:v>
                </c:pt>
                <c:pt idx="714">
                  <c:v>44726</c:v>
                </c:pt>
                <c:pt idx="715">
                  <c:v>44725</c:v>
                </c:pt>
                <c:pt idx="716">
                  <c:v>44722</c:v>
                </c:pt>
                <c:pt idx="717">
                  <c:v>44721</c:v>
                </c:pt>
                <c:pt idx="718">
                  <c:v>44720</c:v>
                </c:pt>
                <c:pt idx="719">
                  <c:v>44719</c:v>
                </c:pt>
                <c:pt idx="720">
                  <c:v>44718</c:v>
                </c:pt>
                <c:pt idx="721">
                  <c:v>44715</c:v>
                </c:pt>
                <c:pt idx="722">
                  <c:v>44714</c:v>
                </c:pt>
                <c:pt idx="723">
                  <c:v>44713</c:v>
                </c:pt>
                <c:pt idx="724">
                  <c:v>44712</c:v>
                </c:pt>
                <c:pt idx="725">
                  <c:v>44708</c:v>
                </c:pt>
                <c:pt idx="726">
                  <c:v>44707</c:v>
                </c:pt>
                <c:pt idx="727">
                  <c:v>44706</c:v>
                </c:pt>
                <c:pt idx="728">
                  <c:v>44705</c:v>
                </c:pt>
                <c:pt idx="729">
                  <c:v>44704</c:v>
                </c:pt>
                <c:pt idx="730">
                  <c:v>44701</c:v>
                </c:pt>
                <c:pt idx="731">
                  <c:v>44700</c:v>
                </c:pt>
                <c:pt idx="732">
                  <c:v>44699</c:v>
                </c:pt>
                <c:pt idx="733">
                  <c:v>44698</c:v>
                </c:pt>
                <c:pt idx="734">
                  <c:v>44697</c:v>
                </c:pt>
                <c:pt idx="735">
                  <c:v>44694</c:v>
                </c:pt>
                <c:pt idx="736">
                  <c:v>44693</c:v>
                </c:pt>
                <c:pt idx="737">
                  <c:v>44692</c:v>
                </c:pt>
                <c:pt idx="738">
                  <c:v>44691</c:v>
                </c:pt>
                <c:pt idx="739">
                  <c:v>44690</c:v>
                </c:pt>
                <c:pt idx="740">
                  <c:v>44687</c:v>
                </c:pt>
                <c:pt idx="741">
                  <c:v>44686</c:v>
                </c:pt>
                <c:pt idx="742">
                  <c:v>44685</c:v>
                </c:pt>
                <c:pt idx="743">
                  <c:v>44684</c:v>
                </c:pt>
                <c:pt idx="744">
                  <c:v>44683</c:v>
                </c:pt>
                <c:pt idx="745">
                  <c:v>44680</c:v>
                </c:pt>
                <c:pt idx="746">
                  <c:v>44679</c:v>
                </c:pt>
                <c:pt idx="747">
                  <c:v>44678</c:v>
                </c:pt>
                <c:pt idx="748">
                  <c:v>44677</c:v>
                </c:pt>
                <c:pt idx="749">
                  <c:v>44676</c:v>
                </c:pt>
                <c:pt idx="750">
                  <c:v>44673</c:v>
                </c:pt>
                <c:pt idx="751">
                  <c:v>44672</c:v>
                </c:pt>
                <c:pt idx="752">
                  <c:v>44671</c:v>
                </c:pt>
                <c:pt idx="753">
                  <c:v>44670</c:v>
                </c:pt>
                <c:pt idx="754">
                  <c:v>44669</c:v>
                </c:pt>
                <c:pt idx="755">
                  <c:v>44665</c:v>
                </c:pt>
                <c:pt idx="756">
                  <c:v>44664</c:v>
                </c:pt>
                <c:pt idx="757">
                  <c:v>44663</c:v>
                </c:pt>
                <c:pt idx="758">
                  <c:v>44662</c:v>
                </c:pt>
                <c:pt idx="759">
                  <c:v>44659</c:v>
                </c:pt>
                <c:pt idx="760">
                  <c:v>44658</c:v>
                </c:pt>
                <c:pt idx="761">
                  <c:v>44657</c:v>
                </c:pt>
                <c:pt idx="762">
                  <c:v>44656</c:v>
                </c:pt>
                <c:pt idx="763">
                  <c:v>44655</c:v>
                </c:pt>
                <c:pt idx="764">
                  <c:v>44652</c:v>
                </c:pt>
                <c:pt idx="765">
                  <c:v>44651</c:v>
                </c:pt>
                <c:pt idx="766">
                  <c:v>44650</c:v>
                </c:pt>
              </c:numCache>
            </c:numRef>
          </c:cat>
          <c:val>
            <c:numRef>
              <c:f>STOCK!$C$5:$C$771</c:f>
              <c:numCache>
                <c:formatCode>General</c:formatCode>
                <c:ptCount val="767"/>
                <c:pt idx="0">
                  <c:v>23.97</c:v>
                </c:pt>
                <c:pt idx="1">
                  <c:v>25.74</c:v>
                </c:pt>
                <c:pt idx="2">
                  <c:v>24.57</c:v>
                </c:pt>
                <c:pt idx="3">
                  <c:v>25.4</c:v>
                </c:pt>
                <c:pt idx="4">
                  <c:v>25.35</c:v>
                </c:pt>
                <c:pt idx="5">
                  <c:v>26.09</c:v>
                </c:pt>
                <c:pt idx="6">
                  <c:v>25.89</c:v>
                </c:pt>
                <c:pt idx="7">
                  <c:v>26.37</c:v>
                </c:pt>
                <c:pt idx="8">
                  <c:v>21.28</c:v>
                </c:pt>
                <c:pt idx="9">
                  <c:v>22.75</c:v>
                </c:pt>
                <c:pt idx="10">
                  <c:v>20.68</c:v>
                </c:pt>
                <c:pt idx="11">
                  <c:v>23.25</c:v>
                </c:pt>
                <c:pt idx="12">
                  <c:v>25.05</c:v>
                </c:pt>
                <c:pt idx="13">
                  <c:v>23.19</c:v>
                </c:pt>
                <c:pt idx="14">
                  <c:v>22.07</c:v>
                </c:pt>
                <c:pt idx="15">
                  <c:v>22.85</c:v>
                </c:pt>
                <c:pt idx="16">
                  <c:v>23.65</c:v>
                </c:pt>
                <c:pt idx="17">
                  <c:v>24.8</c:v>
                </c:pt>
                <c:pt idx="18">
                  <c:v>25.55</c:v>
                </c:pt>
                <c:pt idx="19">
                  <c:v>26.12</c:v>
                </c:pt>
                <c:pt idx="20">
                  <c:v>22.26</c:v>
                </c:pt>
                <c:pt idx="21">
                  <c:v>21.14</c:v>
                </c:pt>
                <c:pt idx="22">
                  <c:v>23.3</c:v>
                </c:pt>
                <c:pt idx="23">
                  <c:v>22.68</c:v>
                </c:pt>
                <c:pt idx="24">
                  <c:v>24.93</c:v>
                </c:pt>
                <c:pt idx="25">
                  <c:v>25</c:v>
                </c:pt>
                <c:pt idx="26">
                  <c:v>21.37</c:v>
                </c:pt>
                <c:pt idx="27">
                  <c:v>21.82</c:v>
                </c:pt>
                <c:pt idx="28">
                  <c:v>18.7</c:v>
                </c:pt>
                <c:pt idx="29">
                  <c:v>18.27</c:v>
                </c:pt>
                <c:pt idx="30">
                  <c:v>20.55</c:v>
                </c:pt>
                <c:pt idx="31">
                  <c:v>20.48</c:v>
                </c:pt>
                <c:pt idx="32">
                  <c:v>22.63</c:v>
                </c:pt>
                <c:pt idx="33">
                  <c:v>22.35</c:v>
                </c:pt>
                <c:pt idx="34">
                  <c:v>23.11</c:v>
                </c:pt>
                <c:pt idx="35">
                  <c:v>24.57</c:v>
                </c:pt>
                <c:pt idx="36">
                  <c:v>24.91</c:v>
                </c:pt>
                <c:pt idx="37">
                  <c:v>29.93</c:v>
                </c:pt>
                <c:pt idx="38">
                  <c:v>29.73</c:v>
                </c:pt>
                <c:pt idx="39">
                  <c:v>31.24</c:v>
                </c:pt>
                <c:pt idx="40">
                  <c:v>31.74</c:v>
                </c:pt>
                <c:pt idx="41">
                  <c:v>33.75</c:v>
                </c:pt>
                <c:pt idx="42">
                  <c:v>34.14</c:v>
                </c:pt>
                <c:pt idx="43">
                  <c:v>33.94</c:v>
                </c:pt>
                <c:pt idx="44">
                  <c:v>37.46</c:v>
                </c:pt>
                <c:pt idx="45">
                  <c:v>38.65</c:v>
                </c:pt>
                <c:pt idx="46">
                  <c:v>38</c:v>
                </c:pt>
                <c:pt idx="47">
                  <c:v>37.700000000000003</c:v>
                </c:pt>
                <c:pt idx="48">
                  <c:v>41.07</c:v>
                </c:pt>
                <c:pt idx="49">
                  <c:v>40.57</c:v>
                </c:pt>
                <c:pt idx="50">
                  <c:v>41.27</c:v>
                </c:pt>
                <c:pt idx="51">
                  <c:v>42.32</c:v>
                </c:pt>
                <c:pt idx="52">
                  <c:v>41.86</c:v>
                </c:pt>
                <c:pt idx="53">
                  <c:v>41.47</c:v>
                </c:pt>
                <c:pt idx="54">
                  <c:v>39.49</c:v>
                </c:pt>
                <c:pt idx="55">
                  <c:v>38.81</c:v>
                </c:pt>
                <c:pt idx="56">
                  <c:v>39.54</c:v>
                </c:pt>
                <c:pt idx="57">
                  <c:v>38.86</c:v>
                </c:pt>
                <c:pt idx="58">
                  <c:v>38.54</c:v>
                </c:pt>
                <c:pt idx="59">
                  <c:v>40.76</c:v>
                </c:pt>
                <c:pt idx="60">
                  <c:v>41.35</c:v>
                </c:pt>
                <c:pt idx="61">
                  <c:v>42.04</c:v>
                </c:pt>
                <c:pt idx="62">
                  <c:v>45.31</c:v>
                </c:pt>
                <c:pt idx="63">
                  <c:v>38.89</c:v>
                </c:pt>
                <c:pt idx="64">
                  <c:v>41.55</c:v>
                </c:pt>
                <c:pt idx="65">
                  <c:v>39.39</c:v>
                </c:pt>
                <c:pt idx="66">
                  <c:v>29.51</c:v>
                </c:pt>
                <c:pt idx="67">
                  <c:v>27.86</c:v>
                </c:pt>
                <c:pt idx="68">
                  <c:v>32.33</c:v>
                </c:pt>
                <c:pt idx="69">
                  <c:v>30.25</c:v>
                </c:pt>
                <c:pt idx="70">
                  <c:v>49.59</c:v>
                </c:pt>
                <c:pt idx="71">
                  <c:v>51.07</c:v>
                </c:pt>
                <c:pt idx="72">
                  <c:v>47.77</c:v>
                </c:pt>
                <c:pt idx="73">
                  <c:v>43.1</c:v>
                </c:pt>
                <c:pt idx="74">
                  <c:v>41.77</c:v>
                </c:pt>
                <c:pt idx="75">
                  <c:v>44.29</c:v>
                </c:pt>
                <c:pt idx="76">
                  <c:v>45.48</c:v>
                </c:pt>
                <c:pt idx="77">
                  <c:v>48.24</c:v>
                </c:pt>
                <c:pt idx="78">
                  <c:v>44.58</c:v>
                </c:pt>
                <c:pt idx="79">
                  <c:v>41.32</c:v>
                </c:pt>
                <c:pt idx="80">
                  <c:v>44.42</c:v>
                </c:pt>
                <c:pt idx="81">
                  <c:v>37.76</c:v>
                </c:pt>
                <c:pt idx="82">
                  <c:v>37.5</c:v>
                </c:pt>
                <c:pt idx="83">
                  <c:v>43.84</c:v>
                </c:pt>
                <c:pt idx="84">
                  <c:v>41.81</c:v>
                </c:pt>
                <c:pt idx="85">
                  <c:v>33.83</c:v>
                </c:pt>
                <c:pt idx="86">
                  <c:v>29.99</c:v>
                </c:pt>
                <c:pt idx="87">
                  <c:v>29.83</c:v>
                </c:pt>
                <c:pt idx="88">
                  <c:v>32.97</c:v>
                </c:pt>
                <c:pt idx="89">
                  <c:v>34.24</c:v>
                </c:pt>
                <c:pt idx="90">
                  <c:v>37.97</c:v>
                </c:pt>
                <c:pt idx="91">
                  <c:v>35.950000000000003</c:v>
                </c:pt>
                <c:pt idx="92">
                  <c:v>33.42</c:v>
                </c:pt>
                <c:pt idx="93">
                  <c:v>32.79</c:v>
                </c:pt>
                <c:pt idx="94">
                  <c:v>32.06</c:v>
                </c:pt>
                <c:pt idx="95">
                  <c:v>36.5</c:v>
                </c:pt>
                <c:pt idx="96">
                  <c:v>32.21</c:v>
                </c:pt>
                <c:pt idx="97">
                  <c:v>30.65</c:v>
                </c:pt>
                <c:pt idx="98">
                  <c:v>30.88</c:v>
                </c:pt>
                <c:pt idx="99">
                  <c:v>31.8</c:v>
                </c:pt>
                <c:pt idx="100">
                  <c:v>32.78</c:v>
                </c:pt>
                <c:pt idx="101">
                  <c:v>28.86</c:v>
                </c:pt>
                <c:pt idx="102">
                  <c:v>27.89</c:v>
                </c:pt>
                <c:pt idx="103">
                  <c:v>25.23</c:v>
                </c:pt>
                <c:pt idx="104">
                  <c:v>29.14</c:v>
                </c:pt>
                <c:pt idx="105">
                  <c:v>26.16</c:v>
                </c:pt>
                <c:pt idx="106">
                  <c:v>26.76</c:v>
                </c:pt>
                <c:pt idx="107">
                  <c:v>23.01</c:v>
                </c:pt>
                <c:pt idx="108">
                  <c:v>23.52</c:v>
                </c:pt>
                <c:pt idx="109">
                  <c:v>24.79</c:v>
                </c:pt>
                <c:pt idx="110">
                  <c:v>22.11</c:v>
                </c:pt>
                <c:pt idx="111">
                  <c:v>16.45</c:v>
                </c:pt>
                <c:pt idx="112">
                  <c:v>15.35</c:v>
                </c:pt>
                <c:pt idx="113">
                  <c:v>14.37</c:v>
                </c:pt>
                <c:pt idx="114">
                  <c:v>14.85</c:v>
                </c:pt>
                <c:pt idx="115">
                  <c:v>15.03</c:v>
                </c:pt>
                <c:pt idx="116">
                  <c:v>16.87</c:v>
                </c:pt>
                <c:pt idx="117">
                  <c:v>16.739999999999998</c:v>
                </c:pt>
                <c:pt idx="118">
                  <c:v>17.809999999999999</c:v>
                </c:pt>
                <c:pt idx="119">
                  <c:v>16.96</c:v>
                </c:pt>
                <c:pt idx="120">
                  <c:v>15.71</c:v>
                </c:pt>
                <c:pt idx="121">
                  <c:v>14.74</c:v>
                </c:pt>
                <c:pt idx="122">
                  <c:v>15.01</c:v>
                </c:pt>
                <c:pt idx="123">
                  <c:v>14.76</c:v>
                </c:pt>
                <c:pt idx="124">
                  <c:v>13.3</c:v>
                </c:pt>
                <c:pt idx="125">
                  <c:v>12.5</c:v>
                </c:pt>
                <c:pt idx="126">
                  <c:v>12.3</c:v>
                </c:pt>
                <c:pt idx="127">
                  <c:v>10.49</c:v>
                </c:pt>
                <c:pt idx="128">
                  <c:v>10.84</c:v>
                </c:pt>
                <c:pt idx="129">
                  <c:v>10.66</c:v>
                </c:pt>
                <c:pt idx="130">
                  <c:v>9.81</c:v>
                </c:pt>
                <c:pt idx="131">
                  <c:v>9.5399999999999991</c:v>
                </c:pt>
                <c:pt idx="132">
                  <c:v>9.5500000000000007</c:v>
                </c:pt>
                <c:pt idx="133">
                  <c:v>9.07</c:v>
                </c:pt>
                <c:pt idx="134">
                  <c:v>9.31</c:v>
                </c:pt>
                <c:pt idx="135">
                  <c:v>9.25</c:v>
                </c:pt>
                <c:pt idx="136">
                  <c:v>9.1999999999999993</c:v>
                </c:pt>
                <c:pt idx="137">
                  <c:v>8.17</c:v>
                </c:pt>
                <c:pt idx="138">
                  <c:v>8.74</c:v>
                </c:pt>
                <c:pt idx="139">
                  <c:v>9.7100000000000009</c:v>
                </c:pt>
                <c:pt idx="140">
                  <c:v>8.06</c:v>
                </c:pt>
                <c:pt idx="141">
                  <c:v>7.59</c:v>
                </c:pt>
                <c:pt idx="142">
                  <c:v>8.1199999999999992</c:v>
                </c:pt>
                <c:pt idx="143">
                  <c:v>8.01</c:v>
                </c:pt>
                <c:pt idx="144">
                  <c:v>8.2200000000000006</c:v>
                </c:pt>
                <c:pt idx="145">
                  <c:v>7.72</c:v>
                </c:pt>
                <c:pt idx="146">
                  <c:v>7.83</c:v>
                </c:pt>
                <c:pt idx="147">
                  <c:v>8.1199999999999992</c:v>
                </c:pt>
                <c:pt idx="148">
                  <c:v>7.82</c:v>
                </c:pt>
                <c:pt idx="149">
                  <c:v>7.76</c:v>
                </c:pt>
                <c:pt idx="150">
                  <c:v>7.38</c:v>
                </c:pt>
                <c:pt idx="151">
                  <c:v>7.23</c:v>
                </c:pt>
                <c:pt idx="152">
                  <c:v>6.9</c:v>
                </c:pt>
                <c:pt idx="153">
                  <c:v>6.62</c:v>
                </c:pt>
                <c:pt idx="154">
                  <c:v>6.8</c:v>
                </c:pt>
                <c:pt idx="155">
                  <c:v>7.04</c:v>
                </c:pt>
                <c:pt idx="156">
                  <c:v>7.01</c:v>
                </c:pt>
                <c:pt idx="157">
                  <c:v>6.96</c:v>
                </c:pt>
                <c:pt idx="158">
                  <c:v>7.42</c:v>
                </c:pt>
                <c:pt idx="159">
                  <c:v>7.32</c:v>
                </c:pt>
                <c:pt idx="160">
                  <c:v>7.01</c:v>
                </c:pt>
                <c:pt idx="161">
                  <c:v>7.28</c:v>
                </c:pt>
                <c:pt idx="162">
                  <c:v>7.51</c:v>
                </c:pt>
                <c:pt idx="163">
                  <c:v>7.38</c:v>
                </c:pt>
                <c:pt idx="164">
                  <c:v>7.31</c:v>
                </c:pt>
                <c:pt idx="165">
                  <c:v>7.77</c:v>
                </c:pt>
                <c:pt idx="166">
                  <c:v>7.21</c:v>
                </c:pt>
                <c:pt idx="167">
                  <c:v>7.29</c:v>
                </c:pt>
                <c:pt idx="168">
                  <c:v>7.28</c:v>
                </c:pt>
                <c:pt idx="169">
                  <c:v>7.42</c:v>
                </c:pt>
                <c:pt idx="170">
                  <c:v>7.31</c:v>
                </c:pt>
                <c:pt idx="171">
                  <c:v>7.28</c:v>
                </c:pt>
                <c:pt idx="172">
                  <c:v>6.72</c:v>
                </c:pt>
                <c:pt idx="173">
                  <c:v>7.12</c:v>
                </c:pt>
                <c:pt idx="174">
                  <c:v>7.11</c:v>
                </c:pt>
                <c:pt idx="175">
                  <c:v>6.8</c:v>
                </c:pt>
                <c:pt idx="176">
                  <c:v>7.21</c:v>
                </c:pt>
                <c:pt idx="177">
                  <c:v>6.57</c:v>
                </c:pt>
                <c:pt idx="178">
                  <c:v>7.08</c:v>
                </c:pt>
                <c:pt idx="179">
                  <c:v>7.52</c:v>
                </c:pt>
                <c:pt idx="180">
                  <c:v>8.15</c:v>
                </c:pt>
                <c:pt idx="181">
                  <c:v>7.8</c:v>
                </c:pt>
                <c:pt idx="182">
                  <c:v>7.89</c:v>
                </c:pt>
                <c:pt idx="183">
                  <c:v>8.2100000000000009</c:v>
                </c:pt>
                <c:pt idx="184">
                  <c:v>7.93</c:v>
                </c:pt>
                <c:pt idx="185">
                  <c:v>7.62</c:v>
                </c:pt>
                <c:pt idx="186">
                  <c:v>8.3000000000000007</c:v>
                </c:pt>
                <c:pt idx="187">
                  <c:v>8.08</c:v>
                </c:pt>
                <c:pt idx="188">
                  <c:v>7.43</c:v>
                </c:pt>
                <c:pt idx="189">
                  <c:v>8.2100000000000009</c:v>
                </c:pt>
                <c:pt idx="190">
                  <c:v>8.56</c:v>
                </c:pt>
                <c:pt idx="191">
                  <c:v>9.0299999999999994</c:v>
                </c:pt>
                <c:pt idx="192">
                  <c:v>8.9499999999999993</c:v>
                </c:pt>
                <c:pt idx="193">
                  <c:v>8.4499999999999993</c:v>
                </c:pt>
                <c:pt idx="194">
                  <c:v>8.02</c:v>
                </c:pt>
                <c:pt idx="195">
                  <c:v>8.4499999999999993</c:v>
                </c:pt>
                <c:pt idx="196">
                  <c:v>7.93</c:v>
                </c:pt>
                <c:pt idx="197">
                  <c:v>7.67</c:v>
                </c:pt>
                <c:pt idx="198">
                  <c:v>7.41</c:v>
                </c:pt>
                <c:pt idx="199">
                  <c:v>7.17</c:v>
                </c:pt>
                <c:pt idx="200">
                  <c:v>7.14</c:v>
                </c:pt>
                <c:pt idx="201">
                  <c:v>6.84</c:v>
                </c:pt>
                <c:pt idx="202">
                  <c:v>7.03</c:v>
                </c:pt>
                <c:pt idx="203">
                  <c:v>7.1</c:v>
                </c:pt>
                <c:pt idx="204">
                  <c:v>6.73</c:v>
                </c:pt>
                <c:pt idx="205">
                  <c:v>6.59</c:v>
                </c:pt>
                <c:pt idx="206">
                  <c:v>6.76</c:v>
                </c:pt>
                <c:pt idx="207">
                  <c:v>6.76</c:v>
                </c:pt>
                <c:pt idx="208">
                  <c:v>6.8</c:v>
                </c:pt>
                <c:pt idx="209">
                  <c:v>7.21</c:v>
                </c:pt>
                <c:pt idx="210">
                  <c:v>7.56</c:v>
                </c:pt>
                <c:pt idx="211">
                  <c:v>7.7</c:v>
                </c:pt>
                <c:pt idx="212">
                  <c:v>7.71</c:v>
                </c:pt>
                <c:pt idx="213">
                  <c:v>7.95</c:v>
                </c:pt>
                <c:pt idx="214">
                  <c:v>7.87</c:v>
                </c:pt>
                <c:pt idx="215">
                  <c:v>8.2200000000000006</c:v>
                </c:pt>
                <c:pt idx="216">
                  <c:v>7.86</c:v>
                </c:pt>
                <c:pt idx="217">
                  <c:v>7.83</c:v>
                </c:pt>
                <c:pt idx="218">
                  <c:v>7.93</c:v>
                </c:pt>
                <c:pt idx="219">
                  <c:v>7.71</c:v>
                </c:pt>
                <c:pt idx="220">
                  <c:v>7.78</c:v>
                </c:pt>
                <c:pt idx="221">
                  <c:v>8.15</c:v>
                </c:pt>
                <c:pt idx="222">
                  <c:v>8.4</c:v>
                </c:pt>
                <c:pt idx="223">
                  <c:v>8.14</c:v>
                </c:pt>
                <c:pt idx="224">
                  <c:v>8.2799999999999994</c:v>
                </c:pt>
                <c:pt idx="225">
                  <c:v>8.43</c:v>
                </c:pt>
                <c:pt idx="226">
                  <c:v>8.32</c:v>
                </c:pt>
                <c:pt idx="227">
                  <c:v>8.6</c:v>
                </c:pt>
                <c:pt idx="228">
                  <c:v>8.48</c:v>
                </c:pt>
                <c:pt idx="229">
                  <c:v>8.8800000000000008</c:v>
                </c:pt>
                <c:pt idx="230">
                  <c:v>8.7799999999999994</c:v>
                </c:pt>
                <c:pt idx="231">
                  <c:v>8.7100000000000009</c:v>
                </c:pt>
                <c:pt idx="232">
                  <c:v>9</c:v>
                </c:pt>
                <c:pt idx="233">
                  <c:v>9.2200000000000006</c:v>
                </c:pt>
                <c:pt idx="234">
                  <c:v>8.77</c:v>
                </c:pt>
                <c:pt idx="235">
                  <c:v>8.7100000000000009</c:v>
                </c:pt>
                <c:pt idx="236">
                  <c:v>9.1999999999999993</c:v>
                </c:pt>
                <c:pt idx="237">
                  <c:v>8.7799999999999994</c:v>
                </c:pt>
                <c:pt idx="238">
                  <c:v>8.6300000000000008</c:v>
                </c:pt>
                <c:pt idx="239">
                  <c:v>9.2799999999999994</c:v>
                </c:pt>
                <c:pt idx="240">
                  <c:v>8.94</c:v>
                </c:pt>
                <c:pt idx="241">
                  <c:v>9</c:v>
                </c:pt>
                <c:pt idx="242">
                  <c:v>8.75</c:v>
                </c:pt>
                <c:pt idx="243">
                  <c:v>8.5500000000000007</c:v>
                </c:pt>
                <c:pt idx="244">
                  <c:v>8.92</c:v>
                </c:pt>
                <c:pt idx="245">
                  <c:v>8.9700000000000006</c:v>
                </c:pt>
                <c:pt idx="246">
                  <c:v>8.18</c:v>
                </c:pt>
                <c:pt idx="247">
                  <c:v>8.1999999999999993</c:v>
                </c:pt>
                <c:pt idx="248">
                  <c:v>7.97</c:v>
                </c:pt>
                <c:pt idx="249">
                  <c:v>7.49</c:v>
                </c:pt>
                <c:pt idx="250">
                  <c:v>7.09</c:v>
                </c:pt>
                <c:pt idx="251">
                  <c:v>7.37</c:v>
                </c:pt>
                <c:pt idx="252">
                  <c:v>7.28</c:v>
                </c:pt>
                <c:pt idx="253">
                  <c:v>7.52</c:v>
                </c:pt>
                <c:pt idx="254">
                  <c:v>7.53</c:v>
                </c:pt>
                <c:pt idx="255">
                  <c:v>8.0299999999999994</c:v>
                </c:pt>
                <c:pt idx="256">
                  <c:v>8.24</c:v>
                </c:pt>
                <c:pt idx="257">
                  <c:v>8</c:v>
                </c:pt>
                <c:pt idx="258">
                  <c:v>8.4</c:v>
                </c:pt>
                <c:pt idx="259">
                  <c:v>8.3699999999999992</c:v>
                </c:pt>
                <c:pt idx="260">
                  <c:v>9.2100000000000009</c:v>
                </c:pt>
                <c:pt idx="261">
                  <c:v>9.1199999999999992</c:v>
                </c:pt>
                <c:pt idx="262">
                  <c:v>9.32</c:v>
                </c:pt>
                <c:pt idx="263">
                  <c:v>9.36</c:v>
                </c:pt>
                <c:pt idx="264">
                  <c:v>9.99</c:v>
                </c:pt>
                <c:pt idx="265">
                  <c:v>9.99</c:v>
                </c:pt>
                <c:pt idx="266">
                  <c:v>9.5500000000000007</c:v>
                </c:pt>
                <c:pt idx="267">
                  <c:v>9.11</c:v>
                </c:pt>
                <c:pt idx="268">
                  <c:v>9.5500000000000007</c:v>
                </c:pt>
                <c:pt idx="269">
                  <c:v>9.39</c:v>
                </c:pt>
                <c:pt idx="270">
                  <c:v>9.42</c:v>
                </c:pt>
                <c:pt idx="271">
                  <c:v>9.58</c:v>
                </c:pt>
                <c:pt idx="272">
                  <c:v>9.24</c:v>
                </c:pt>
                <c:pt idx="273">
                  <c:v>9.5399999999999991</c:v>
                </c:pt>
                <c:pt idx="274">
                  <c:v>9.31</c:v>
                </c:pt>
                <c:pt idx="275">
                  <c:v>9.1999999999999993</c:v>
                </c:pt>
                <c:pt idx="276">
                  <c:v>9.6300000000000008</c:v>
                </c:pt>
                <c:pt idx="277">
                  <c:v>9.8699999999999992</c:v>
                </c:pt>
                <c:pt idx="278">
                  <c:v>9.7899999999999991</c:v>
                </c:pt>
                <c:pt idx="279">
                  <c:v>10.81</c:v>
                </c:pt>
                <c:pt idx="280">
                  <c:v>10.9</c:v>
                </c:pt>
                <c:pt idx="281">
                  <c:v>9.92</c:v>
                </c:pt>
                <c:pt idx="282">
                  <c:v>9.3699999999999992</c:v>
                </c:pt>
                <c:pt idx="283">
                  <c:v>10.09</c:v>
                </c:pt>
                <c:pt idx="284">
                  <c:v>10.66</c:v>
                </c:pt>
                <c:pt idx="285">
                  <c:v>10.36</c:v>
                </c:pt>
                <c:pt idx="286">
                  <c:v>11.26</c:v>
                </c:pt>
                <c:pt idx="287">
                  <c:v>11.57</c:v>
                </c:pt>
                <c:pt idx="288">
                  <c:v>11.24</c:v>
                </c:pt>
                <c:pt idx="289">
                  <c:v>10.65</c:v>
                </c:pt>
                <c:pt idx="290">
                  <c:v>10.99</c:v>
                </c:pt>
                <c:pt idx="291">
                  <c:v>10.63</c:v>
                </c:pt>
                <c:pt idx="292">
                  <c:v>10.62</c:v>
                </c:pt>
                <c:pt idx="293">
                  <c:v>10.82</c:v>
                </c:pt>
                <c:pt idx="294">
                  <c:v>11.01</c:v>
                </c:pt>
                <c:pt idx="295">
                  <c:v>10.93</c:v>
                </c:pt>
                <c:pt idx="296">
                  <c:v>10.54</c:v>
                </c:pt>
                <c:pt idx="297">
                  <c:v>11.62</c:v>
                </c:pt>
                <c:pt idx="298">
                  <c:v>11.16</c:v>
                </c:pt>
                <c:pt idx="299">
                  <c:v>10.9</c:v>
                </c:pt>
                <c:pt idx="300">
                  <c:v>10.41</c:v>
                </c:pt>
                <c:pt idx="301">
                  <c:v>10.44</c:v>
                </c:pt>
                <c:pt idx="302">
                  <c:v>9.8699999999999992</c:v>
                </c:pt>
                <c:pt idx="303">
                  <c:v>10.27</c:v>
                </c:pt>
                <c:pt idx="304">
                  <c:v>10.24</c:v>
                </c:pt>
                <c:pt idx="305">
                  <c:v>10.27</c:v>
                </c:pt>
                <c:pt idx="306">
                  <c:v>10.69</c:v>
                </c:pt>
                <c:pt idx="307">
                  <c:v>11.21</c:v>
                </c:pt>
                <c:pt idx="308">
                  <c:v>11.01</c:v>
                </c:pt>
                <c:pt idx="309">
                  <c:v>11.28</c:v>
                </c:pt>
                <c:pt idx="310">
                  <c:v>11.07</c:v>
                </c:pt>
                <c:pt idx="311">
                  <c:v>11.75</c:v>
                </c:pt>
                <c:pt idx="312">
                  <c:v>11.72</c:v>
                </c:pt>
                <c:pt idx="313">
                  <c:v>10.85</c:v>
                </c:pt>
                <c:pt idx="314">
                  <c:v>10.72</c:v>
                </c:pt>
                <c:pt idx="315">
                  <c:v>10.85</c:v>
                </c:pt>
                <c:pt idx="316">
                  <c:v>10.97</c:v>
                </c:pt>
                <c:pt idx="317">
                  <c:v>11.4</c:v>
                </c:pt>
                <c:pt idx="318">
                  <c:v>11.56</c:v>
                </c:pt>
                <c:pt idx="319">
                  <c:v>12.09</c:v>
                </c:pt>
                <c:pt idx="320">
                  <c:v>12.45</c:v>
                </c:pt>
                <c:pt idx="321">
                  <c:v>12.64</c:v>
                </c:pt>
                <c:pt idx="322">
                  <c:v>12</c:v>
                </c:pt>
                <c:pt idx="323">
                  <c:v>12.28</c:v>
                </c:pt>
                <c:pt idx="324">
                  <c:v>11.93</c:v>
                </c:pt>
                <c:pt idx="325">
                  <c:v>12.16</c:v>
                </c:pt>
                <c:pt idx="326">
                  <c:v>12.39</c:v>
                </c:pt>
                <c:pt idx="327">
                  <c:v>13.23</c:v>
                </c:pt>
                <c:pt idx="328">
                  <c:v>13.21</c:v>
                </c:pt>
                <c:pt idx="329">
                  <c:v>13.52</c:v>
                </c:pt>
                <c:pt idx="330">
                  <c:v>13.64</c:v>
                </c:pt>
                <c:pt idx="331">
                  <c:v>13.79</c:v>
                </c:pt>
                <c:pt idx="332">
                  <c:v>13.39</c:v>
                </c:pt>
                <c:pt idx="333">
                  <c:v>14.32</c:v>
                </c:pt>
                <c:pt idx="334">
                  <c:v>14.57</c:v>
                </c:pt>
                <c:pt idx="335">
                  <c:v>14.93</c:v>
                </c:pt>
                <c:pt idx="336">
                  <c:v>14.76</c:v>
                </c:pt>
                <c:pt idx="337">
                  <c:v>13.43</c:v>
                </c:pt>
                <c:pt idx="338">
                  <c:v>12.76</c:v>
                </c:pt>
                <c:pt idx="339">
                  <c:v>13.05</c:v>
                </c:pt>
                <c:pt idx="340">
                  <c:v>13.69</c:v>
                </c:pt>
                <c:pt idx="341">
                  <c:v>13.2</c:v>
                </c:pt>
                <c:pt idx="342">
                  <c:v>12.97</c:v>
                </c:pt>
                <c:pt idx="343">
                  <c:v>13.01</c:v>
                </c:pt>
                <c:pt idx="344">
                  <c:v>13.76</c:v>
                </c:pt>
                <c:pt idx="345">
                  <c:v>13.61</c:v>
                </c:pt>
                <c:pt idx="346">
                  <c:v>12.23</c:v>
                </c:pt>
                <c:pt idx="347">
                  <c:v>12.48</c:v>
                </c:pt>
                <c:pt idx="348">
                  <c:v>12.21</c:v>
                </c:pt>
                <c:pt idx="349">
                  <c:v>12.1</c:v>
                </c:pt>
                <c:pt idx="350">
                  <c:v>12.36</c:v>
                </c:pt>
                <c:pt idx="351">
                  <c:v>12.42</c:v>
                </c:pt>
                <c:pt idx="352">
                  <c:v>12.29</c:v>
                </c:pt>
                <c:pt idx="353">
                  <c:v>12.85</c:v>
                </c:pt>
                <c:pt idx="354">
                  <c:v>12.7</c:v>
                </c:pt>
                <c:pt idx="355">
                  <c:v>12.2</c:v>
                </c:pt>
                <c:pt idx="356">
                  <c:v>12.99</c:v>
                </c:pt>
                <c:pt idx="357">
                  <c:v>12.69</c:v>
                </c:pt>
                <c:pt idx="358">
                  <c:v>11.55</c:v>
                </c:pt>
                <c:pt idx="359">
                  <c:v>10.66</c:v>
                </c:pt>
                <c:pt idx="360">
                  <c:v>11.23</c:v>
                </c:pt>
                <c:pt idx="361">
                  <c:v>11.41</c:v>
                </c:pt>
                <c:pt idx="362">
                  <c:v>11.47</c:v>
                </c:pt>
                <c:pt idx="363">
                  <c:v>11.21</c:v>
                </c:pt>
                <c:pt idx="364">
                  <c:v>11.58</c:v>
                </c:pt>
                <c:pt idx="365">
                  <c:v>11.14</c:v>
                </c:pt>
                <c:pt idx="366">
                  <c:v>10.220000000000001</c:v>
                </c:pt>
                <c:pt idx="367">
                  <c:v>9.64</c:v>
                </c:pt>
                <c:pt idx="368">
                  <c:v>9.5</c:v>
                </c:pt>
                <c:pt idx="369">
                  <c:v>10.14</c:v>
                </c:pt>
                <c:pt idx="370">
                  <c:v>9.92</c:v>
                </c:pt>
                <c:pt idx="371">
                  <c:v>10.4</c:v>
                </c:pt>
                <c:pt idx="372">
                  <c:v>11.01</c:v>
                </c:pt>
                <c:pt idx="373">
                  <c:v>12.64</c:v>
                </c:pt>
                <c:pt idx="374">
                  <c:v>12.59</c:v>
                </c:pt>
                <c:pt idx="375">
                  <c:v>13.47</c:v>
                </c:pt>
                <c:pt idx="376">
                  <c:v>13.69</c:v>
                </c:pt>
                <c:pt idx="377">
                  <c:v>14.38</c:v>
                </c:pt>
                <c:pt idx="378">
                  <c:v>14.41</c:v>
                </c:pt>
                <c:pt idx="379">
                  <c:v>14.29</c:v>
                </c:pt>
                <c:pt idx="380">
                  <c:v>15.21</c:v>
                </c:pt>
                <c:pt idx="381">
                  <c:v>15.69</c:v>
                </c:pt>
                <c:pt idx="382">
                  <c:v>16</c:v>
                </c:pt>
                <c:pt idx="383">
                  <c:v>14.64</c:v>
                </c:pt>
                <c:pt idx="384">
                  <c:v>15.29</c:v>
                </c:pt>
                <c:pt idx="385">
                  <c:v>14.69</c:v>
                </c:pt>
                <c:pt idx="386">
                  <c:v>14.77</c:v>
                </c:pt>
                <c:pt idx="387">
                  <c:v>13.92</c:v>
                </c:pt>
                <c:pt idx="388">
                  <c:v>14.81</c:v>
                </c:pt>
                <c:pt idx="389">
                  <c:v>14.88</c:v>
                </c:pt>
                <c:pt idx="390">
                  <c:v>15.39</c:v>
                </c:pt>
                <c:pt idx="391">
                  <c:v>14.24</c:v>
                </c:pt>
                <c:pt idx="392">
                  <c:v>13.1</c:v>
                </c:pt>
                <c:pt idx="393">
                  <c:v>13.41</c:v>
                </c:pt>
                <c:pt idx="394">
                  <c:v>13.28</c:v>
                </c:pt>
                <c:pt idx="395">
                  <c:v>13.53</c:v>
                </c:pt>
                <c:pt idx="396">
                  <c:v>14.8</c:v>
                </c:pt>
                <c:pt idx="397">
                  <c:v>15.78</c:v>
                </c:pt>
                <c:pt idx="398">
                  <c:v>16.16</c:v>
                </c:pt>
                <c:pt idx="399">
                  <c:v>17.079999999999998</c:v>
                </c:pt>
                <c:pt idx="400">
                  <c:v>18.03</c:v>
                </c:pt>
                <c:pt idx="401">
                  <c:v>18.690000000000001</c:v>
                </c:pt>
                <c:pt idx="402">
                  <c:v>19.309999999999999</c:v>
                </c:pt>
                <c:pt idx="403">
                  <c:v>19.68</c:v>
                </c:pt>
                <c:pt idx="404">
                  <c:v>19.34</c:v>
                </c:pt>
                <c:pt idx="405">
                  <c:v>17.489999999999998</c:v>
                </c:pt>
                <c:pt idx="406">
                  <c:v>19.579999999999998</c:v>
                </c:pt>
                <c:pt idx="407">
                  <c:v>18.97</c:v>
                </c:pt>
                <c:pt idx="408">
                  <c:v>17.510000000000002</c:v>
                </c:pt>
                <c:pt idx="409">
                  <c:v>17.190000000000001</c:v>
                </c:pt>
                <c:pt idx="410">
                  <c:v>17.12</c:v>
                </c:pt>
                <c:pt idx="411">
                  <c:v>16.5</c:v>
                </c:pt>
                <c:pt idx="412">
                  <c:v>15.27</c:v>
                </c:pt>
                <c:pt idx="413">
                  <c:v>14.67</c:v>
                </c:pt>
                <c:pt idx="414">
                  <c:v>14.62</c:v>
                </c:pt>
                <c:pt idx="415">
                  <c:v>16.100000000000001</c:v>
                </c:pt>
                <c:pt idx="416">
                  <c:v>14.92</c:v>
                </c:pt>
                <c:pt idx="417">
                  <c:v>14.42</c:v>
                </c:pt>
                <c:pt idx="418">
                  <c:v>13.42</c:v>
                </c:pt>
                <c:pt idx="419">
                  <c:v>13.01</c:v>
                </c:pt>
                <c:pt idx="420">
                  <c:v>13.69</c:v>
                </c:pt>
                <c:pt idx="421">
                  <c:v>15.56</c:v>
                </c:pt>
                <c:pt idx="422">
                  <c:v>14.88</c:v>
                </c:pt>
                <c:pt idx="423">
                  <c:v>15.71</c:v>
                </c:pt>
                <c:pt idx="424">
                  <c:v>14.19</c:v>
                </c:pt>
                <c:pt idx="425">
                  <c:v>14.49</c:v>
                </c:pt>
                <c:pt idx="426">
                  <c:v>15.33</c:v>
                </c:pt>
                <c:pt idx="427">
                  <c:v>15.58</c:v>
                </c:pt>
                <c:pt idx="428">
                  <c:v>17.39</c:v>
                </c:pt>
                <c:pt idx="429">
                  <c:v>18.29</c:v>
                </c:pt>
                <c:pt idx="430">
                  <c:v>18.329999999999998</c:v>
                </c:pt>
                <c:pt idx="431">
                  <c:v>19.86</c:v>
                </c:pt>
                <c:pt idx="432">
                  <c:v>19.25</c:v>
                </c:pt>
                <c:pt idx="433">
                  <c:v>17.93</c:v>
                </c:pt>
                <c:pt idx="434">
                  <c:v>15.53</c:v>
                </c:pt>
                <c:pt idx="435">
                  <c:v>16.190000000000001</c:v>
                </c:pt>
                <c:pt idx="436">
                  <c:v>15.22</c:v>
                </c:pt>
                <c:pt idx="437">
                  <c:v>14.39</c:v>
                </c:pt>
                <c:pt idx="438">
                  <c:v>14.42</c:v>
                </c:pt>
                <c:pt idx="439">
                  <c:v>14.92</c:v>
                </c:pt>
                <c:pt idx="440">
                  <c:v>15.52</c:v>
                </c:pt>
                <c:pt idx="441">
                  <c:v>15.71</c:v>
                </c:pt>
                <c:pt idx="442">
                  <c:v>14.9</c:v>
                </c:pt>
                <c:pt idx="443">
                  <c:v>13.55</c:v>
                </c:pt>
                <c:pt idx="444">
                  <c:v>14.46</c:v>
                </c:pt>
                <c:pt idx="445">
                  <c:v>14.72</c:v>
                </c:pt>
                <c:pt idx="446">
                  <c:v>13.86</c:v>
                </c:pt>
                <c:pt idx="447">
                  <c:v>14.03</c:v>
                </c:pt>
                <c:pt idx="448">
                  <c:v>13.28</c:v>
                </c:pt>
                <c:pt idx="449">
                  <c:v>13.29</c:v>
                </c:pt>
                <c:pt idx="450">
                  <c:v>14.12</c:v>
                </c:pt>
                <c:pt idx="451">
                  <c:v>13.5</c:v>
                </c:pt>
                <c:pt idx="452">
                  <c:v>13.53</c:v>
                </c:pt>
                <c:pt idx="453">
                  <c:v>13.53</c:v>
                </c:pt>
                <c:pt idx="454">
                  <c:v>13.35</c:v>
                </c:pt>
                <c:pt idx="455">
                  <c:v>10.81</c:v>
                </c:pt>
                <c:pt idx="456">
                  <c:v>10.33</c:v>
                </c:pt>
                <c:pt idx="457">
                  <c:v>9.3699999999999992</c:v>
                </c:pt>
                <c:pt idx="458">
                  <c:v>9.43</c:v>
                </c:pt>
                <c:pt idx="459">
                  <c:v>9.2200000000000006</c:v>
                </c:pt>
                <c:pt idx="460">
                  <c:v>9.31</c:v>
                </c:pt>
                <c:pt idx="461">
                  <c:v>9.6999999999999993</c:v>
                </c:pt>
                <c:pt idx="462">
                  <c:v>9.94</c:v>
                </c:pt>
                <c:pt idx="463">
                  <c:v>9.94</c:v>
                </c:pt>
                <c:pt idx="464">
                  <c:v>10.63</c:v>
                </c:pt>
                <c:pt idx="465">
                  <c:v>10.54</c:v>
                </c:pt>
                <c:pt idx="466">
                  <c:v>10.55</c:v>
                </c:pt>
                <c:pt idx="467">
                  <c:v>10.65</c:v>
                </c:pt>
                <c:pt idx="468">
                  <c:v>9.4499999999999993</c:v>
                </c:pt>
                <c:pt idx="469">
                  <c:v>9.81</c:v>
                </c:pt>
                <c:pt idx="470">
                  <c:v>9.84</c:v>
                </c:pt>
                <c:pt idx="471">
                  <c:v>9.2200000000000006</c:v>
                </c:pt>
                <c:pt idx="472">
                  <c:v>10.72</c:v>
                </c:pt>
                <c:pt idx="473">
                  <c:v>10.79</c:v>
                </c:pt>
                <c:pt idx="474">
                  <c:v>10.99</c:v>
                </c:pt>
                <c:pt idx="475">
                  <c:v>10</c:v>
                </c:pt>
                <c:pt idx="476">
                  <c:v>9.35</c:v>
                </c:pt>
                <c:pt idx="477">
                  <c:v>10.24</c:v>
                </c:pt>
                <c:pt idx="478">
                  <c:v>10.83</c:v>
                </c:pt>
                <c:pt idx="479">
                  <c:v>10.86</c:v>
                </c:pt>
                <c:pt idx="480">
                  <c:v>8.8800000000000008</c:v>
                </c:pt>
                <c:pt idx="481">
                  <c:v>9.09</c:v>
                </c:pt>
                <c:pt idx="482">
                  <c:v>8.9600000000000009</c:v>
                </c:pt>
                <c:pt idx="483">
                  <c:v>7.99</c:v>
                </c:pt>
                <c:pt idx="484">
                  <c:v>7.34</c:v>
                </c:pt>
                <c:pt idx="485">
                  <c:v>6.35</c:v>
                </c:pt>
                <c:pt idx="486">
                  <c:v>7.02</c:v>
                </c:pt>
                <c:pt idx="487">
                  <c:v>6.95</c:v>
                </c:pt>
                <c:pt idx="488">
                  <c:v>6.38</c:v>
                </c:pt>
                <c:pt idx="489">
                  <c:v>6.15</c:v>
                </c:pt>
                <c:pt idx="490">
                  <c:v>5.9</c:v>
                </c:pt>
                <c:pt idx="491">
                  <c:v>5.57</c:v>
                </c:pt>
                <c:pt idx="492">
                  <c:v>5.41</c:v>
                </c:pt>
                <c:pt idx="493">
                  <c:v>5.31</c:v>
                </c:pt>
                <c:pt idx="494">
                  <c:v>5.49</c:v>
                </c:pt>
                <c:pt idx="495">
                  <c:v>5.51</c:v>
                </c:pt>
                <c:pt idx="496">
                  <c:v>5.55</c:v>
                </c:pt>
                <c:pt idx="497">
                  <c:v>5.4</c:v>
                </c:pt>
                <c:pt idx="498">
                  <c:v>5.51</c:v>
                </c:pt>
                <c:pt idx="499">
                  <c:v>5.84</c:v>
                </c:pt>
                <c:pt idx="500">
                  <c:v>6.25</c:v>
                </c:pt>
                <c:pt idx="501">
                  <c:v>6.1</c:v>
                </c:pt>
                <c:pt idx="502">
                  <c:v>6.28</c:v>
                </c:pt>
                <c:pt idx="503">
                  <c:v>6.4</c:v>
                </c:pt>
                <c:pt idx="504">
                  <c:v>6.55</c:v>
                </c:pt>
                <c:pt idx="505">
                  <c:v>6.71</c:v>
                </c:pt>
                <c:pt idx="506">
                  <c:v>6.82</c:v>
                </c:pt>
                <c:pt idx="507">
                  <c:v>6.59</c:v>
                </c:pt>
                <c:pt idx="508">
                  <c:v>6.78</c:v>
                </c:pt>
                <c:pt idx="509">
                  <c:v>6.85</c:v>
                </c:pt>
                <c:pt idx="510">
                  <c:v>6.81</c:v>
                </c:pt>
                <c:pt idx="511">
                  <c:v>6.66</c:v>
                </c:pt>
                <c:pt idx="512">
                  <c:v>7.07</c:v>
                </c:pt>
                <c:pt idx="513">
                  <c:v>6.15</c:v>
                </c:pt>
                <c:pt idx="514">
                  <c:v>6.15</c:v>
                </c:pt>
                <c:pt idx="515">
                  <c:v>5.08</c:v>
                </c:pt>
                <c:pt idx="516">
                  <c:v>5.13</c:v>
                </c:pt>
                <c:pt idx="517">
                  <c:v>4.7</c:v>
                </c:pt>
                <c:pt idx="518">
                  <c:v>5.12</c:v>
                </c:pt>
                <c:pt idx="519">
                  <c:v>4.88</c:v>
                </c:pt>
                <c:pt idx="520">
                  <c:v>4.84</c:v>
                </c:pt>
                <c:pt idx="521">
                  <c:v>4.6500000000000004</c:v>
                </c:pt>
                <c:pt idx="522">
                  <c:v>4.87</c:v>
                </c:pt>
                <c:pt idx="523">
                  <c:v>4.6100000000000003</c:v>
                </c:pt>
                <c:pt idx="524">
                  <c:v>4.7300000000000004</c:v>
                </c:pt>
                <c:pt idx="525">
                  <c:v>4.8</c:v>
                </c:pt>
                <c:pt idx="526">
                  <c:v>4.7699999999999996</c:v>
                </c:pt>
                <c:pt idx="527">
                  <c:v>4.79</c:v>
                </c:pt>
                <c:pt idx="528">
                  <c:v>4.71</c:v>
                </c:pt>
                <c:pt idx="529">
                  <c:v>4.5599999999999996</c:v>
                </c:pt>
                <c:pt idx="530">
                  <c:v>4.83</c:v>
                </c:pt>
                <c:pt idx="531">
                  <c:v>5.0599999999999996</c:v>
                </c:pt>
                <c:pt idx="532">
                  <c:v>4.9400000000000004</c:v>
                </c:pt>
                <c:pt idx="533">
                  <c:v>4.93</c:v>
                </c:pt>
                <c:pt idx="534">
                  <c:v>5.03</c:v>
                </c:pt>
                <c:pt idx="535">
                  <c:v>4.76</c:v>
                </c:pt>
                <c:pt idx="536">
                  <c:v>4.62</c:v>
                </c:pt>
                <c:pt idx="537">
                  <c:v>4.74</c:v>
                </c:pt>
                <c:pt idx="538">
                  <c:v>4.63</c:v>
                </c:pt>
                <c:pt idx="539">
                  <c:v>4.57</c:v>
                </c:pt>
                <c:pt idx="540">
                  <c:v>4.78</c:v>
                </c:pt>
                <c:pt idx="541">
                  <c:v>4.76</c:v>
                </c:pt>
                <c:pt idx="542">
                  <c:v>4.6399999999999997</c:v>
                </c:pt>
                <c:pt idx="543">
                  <c:v>4.88</c:v>
                </c:pt>
                <c:pt idx="544">
                  <c:v>5.28</c:v>
                </c:pt>
                <c:pt idx="545">
                  <c:v>5.65</c:v>
                </c:pt>
                <c:pt idx="546">
                  <c:v>4.99</c:v>
                </c:pt>
                <c:pt idx="547">
                  <c:v>4.8899999999999997</c:v>
                </c:pt>
                <c:pt idx="548">
                  <c:v>4.8099999999999996</c:v>
                </c:pt>
                <c:pt idx="549">
                  <c:v>4.6900000000000004</c:v>
                </c:pt>
                <c:pt idx="550">
                  <c:v>5.13</c:v>
                </c:pt>
                <c:pt idx="551">
                  <c:v>5.15</c:v>
                </c:pt>
                <c:pt idx="552">
                  <c:v>5.41</c:v>
                </c:pt>
                <c:pt idx="553">
                  <c:v>5.5</c:v>
                </c:pt>
                <c:pt idx="554">
                  <c:v>5.49</c:v>
                </c:pt>
                <c:pt idx="555">
                  <c:v>4.76</c:v>
                </c:pt>
                <c:pt idx="556">
                  <c:v>4.4400000000000004</c:v>
                </c:pt>
                <c:pt idx="557">
                  <c:v>4.46</c:v>
                </c:pt>
                <c:pt idx="558">
                  <c:v>4.49</c:v>
                </c:pt>
                <c:pt idx="559">
                  <c:v>4.54</c:v>
                </c:pt>
                <c:pt idx="560">
                  <c:v>4.5</c:v>
                </c:pt>
                <c:pt idx="561">
                  <c:v>4.4400000000000004</c:v>
                </c:pt>
                <c:pt idx="562">
                  <c:v>4.5</c:v>
                </c:pt>
                <c:pt idx="563">
                  <c:v>4.34</c:v>
                </c:pt>
                <c:pt idx="564">
                  <c:v>4.0199999999999996</c:v>
                </c:pt>
                <c:pt idx="565">
                  <c:v>4.2</c:v>
                </c:pt>
                <c:pt idx="566">
                  <c:v>4.3499999999999996</c:v>
                </c:pt>
                <c:pt idx="567">
                  <c:v>4.41</c:v>
                </c:pt>
                <c:pt idx="568">
                  <c:v>4.05</c:v>
                </c:pt>
                <c:pt idx="569">
                  <c:v>3.86</c:v>
                </c:pt>
                <c:pt idx="570">
                  <c:v>3.81</c:v>
                </c:pt>
                <c:pt idx="571">
                  <c:v>3.81</c:v>
                </c:pt>
                <c:pt idx="572">
                  <c:v>3.77</c:v>
                </c:pt>
                <c:pt idx="573">
                  <c:v>3.64</c:v>
                </c:pt>
                <c:pt idx="574">
                  <c:v>3.61</c:v>
                </c:pt>
                <c:pt idx="575">
                  <c:v>3.46</c:v>
                </c:pt>
                <c:pt idx="576">
                  <c:v>3.45</c:v>
                </c:pt>
                <c:pt idx="577">
                  <c:v>3.54</c:v>
                </c:pt>
                <c:pt idx="578">
                  <c:v>3.12</c:v>
                </c:pt>
                <c:pt idx="579">
                  <c:v>3.1</c:v>
                </c:pt>
                <c:pt idx="580">
                  <c:v>3.3</c:v>
                </c:pt>
                <c:pt idx="581">
                  <c:v>3.37</c:v>
                </c:pt>
                <c:pt idx="582">
                  <c:v>3.69</c:v>
                </c:pt>
                <c:pt idx="583">
                  <c:v>3.71</c:v>
                </c:pt>
                <c:pt idx="584">
                  <c:v>3.7</c:v>
                </c:pt>
                <c:pt idx="585">
                  <c:v>3.86</c:v>
                </c:pt>
                <c:pt idx="586">
                  <c:v>3.91</c:v>
                </c:pt>
                <c:pt idx="587">
                  <c:v>4.2300000000000004</c:v>
                </c:pt>
                <c:pt idx="588">
                  <c:v>4.32</c:v>
                </c:pt>
                <c:pt idx="589">
                  <c:v>4.47</c:v>
                </c:pt>
                <c:pt idx="590">
                  <c:v>4.4800000000000004</c:v>
                </c:pt>
                <c:pt idx="591">
                  <c:v>4.62</c:v>
                </c:pt>
                <c:pt idx="592">
                  <c:v>4.3499999999999996</c:v>
                </c:pt>
                <c:pt idx="593">
                  <c:v>4.3499999999999996</c:v>
                </c:pt>
                <c:pt idx="594">
                  <c:v>4.6500000000000004</c:v>
                </c:pt>
                <c:pt idx="595">
                  <c:v>4.9400000000000004</c:v>
                </c:pt>
                <c:pt idx="596">
                  <c:v>4.96</c:v>
                </c:pt>
                <c:pt idx="597">
                  <c:v>5.16</c:v>
                </c:pt>
                <c:pt idx="598">
                  <c:v>4.83</c:v>
                </c:pt>
                <c:pt idx="599">
                  <c:v>4.9400000000000004</c:v>
                </c:pt>
                <c:pt idx="600">
                  <c:v>4.91</c:v>
                </c:pt>
                <c:pt idx="601">
                  <c:v>4.9800000000000004</c:v>
                </c:pt>
                <c:pt idx="602">
                  <c:v>4.8499999999999996</c:v>
                </c:pt>
                <c:pt idx="603">
                  <c:v>4.8</c:v>
                </c:pt>
                <c:pt idx="604">
                  <c:v>4.92</c:v>
                </c:pt>
                <c:pt idx="605">
                  <c:v>4.91</c:v>
                </c:pt>
                <c:pt idx="606">
                  <c:v>5.25</c:v>
                </c:pt>
                <c:pt idx="607">
                  <c:v>5.65</c:v>
                </c:pt>
                <c:pt idx="608">
                  <c:v>5.99</c:v>
                </c:pt>
                <c:pt idx="609">
                  <c:v>5.83</c:v>
                </c:pt>
                <c:pt idx="610">
                  <c:v>5.56</c:v>
                </c:pt>
                <c:pt idx="611">
                  <c:v>4.6100000000000003</c:v>
                </c:pt>
                <c:pt idx="612">
                  <c:v>4.96</c:v>
                </c:pt>
                <c:pt idx="613">
                  <c:v>5.27</c:v>
                </c:pt>
                <c:pt idx="614">
                  <c:v>5.16</c:v>
                </c:pt>
                <c:pt idx="615">
                  <c:v>5.16</c:v>
                </c:pt>
                <c:pt idx="616">
                  <c:v>5.33</c:v>
                </c:pt>
                <c:pt idx="617">
                  <c:v>5.61</c:v>
                </c:pt>
                <c:pt idx="618">
                  <c:v>5.89</c:v>
                </c:pt>
                <c:pt idx="619">
                  <c:v>5.69</c:v>
                </c:pt>
                <c:pt idx="620">
                  <c:v>5.47</c:v>
                </c:pt>
                <c:pt idx="621">
                  <c:v>5.53</c:v>
                </c:pt>
                <c:pt idx="622">
                  <c:v>5.4</c:v>
                </c:pt>
                <c:pt idx="623">
                  <c:v>5.0599999999999996</c:v>
                </c:pt>
                <c:pt idx="624">
                  <c:v>5.13</c:v>
                </c:pt>
                <c:pt idx="625">
                  <c:v>5.07</c:v>
                </c:pt>
                <c:pt idx="626">
                  <c:v>5.01</c:v>
                </c:pt>
                <c:pt idx="627">
                  <c:v>5.08</c:v>
                </c:pt>
                <c:pt idx="628">
                  <c:v>5.14</c:v>
                </c:pt>
                <c:pt idx="629">
                  <c:v>4.87</c:v>
                </c:pt>
                <c:pt idx="630">
                  <c:v>5.18</c:v>
                </c:pt>
                <c:pt idx="631">
                  <c:v>5.05</c:v>
                </c:pt>
                <c:pt idx="632">
                  <c:v>4.8899999999999997</c:v>
                </c:pt>
                <c:pt idx="633">
                  <c:v>5.07</c:v>
                </c:pt>
                <c:pt idx="634">
                  <c:v>5.28</c:v>
                </c:pt>
                <c:pt idx="635">
                  <c:v>5.64</c:v>
                </c:pt>
                <c:pt idx="636">
                  <c:v>5.71</c:v>
                </c:pt>
                <c:pt idx="637">
                  <c:v>5.88</c:v>
                </c:pt>
                <c:pt idx="638">
                  <c:v>5.26</c:v>
                </c:pt>
                <c:pt idx="639">
                  <c:v>5.07</c:v>
                </c:pt>
                <c:pt idx="640">
                  <c:v>4.78</c:v>
                </c:pt>
                <c:pt idx="641">
                  <c:v>5.07</c:v>
                </c:pt>
                <c:pt idx="642">
                  <c:v>4.84</c:v>
                </c:pt>
                <c:pt idx="643">
                  <c:v>4.79</c:v>
                </c:pt>
                <c:pt idx="644">
                  <c:v>4.7699999999999996</c:v>
                </c:pt>
                <c:pt idx="645">
                  <c:v>4.97</c:v>
                </c:pt>
                <c:pt idx="646">
                  <c:v>5.2</c:v>
                </c:pt>
                <c:pt idx="647">
                  <c:v>5.27</c:v>
                </c:pt>
                <c:pt idx="648">
                  <c:v>5.39</c:v>
                </c:pt>
                <c:pt idx="649">
                  <c:v>5.49</c:v>
                </c:pt>
                <c:pt idx="650">
                  <c:v>5.76</c:v>
                </c:pt>
                <c:pt idx="651">
                  <c:v>5.79</c:v>
                </c:pt>
                <c:pt idx="652">
                  <c:v>5.59</c:v>
                </c:pt>
                <c:pt idx="653">
                  <c:v>5.92</c:v>
                </c:pt>
                <c:pt idx="654">
                  <c:v>5.39</c:v>
                </c:pt>
                <c:pt idx="655">
                  <c:v>5.24</c:v>
                </c:pt>
                <c:pt idx="656">
                  <c:v>5.3</c:v>
                </c:pt>
                <c:pt idx="657">
                  <c:v>5.63</c:v>
                </c:pt>
                <c:pt idx="658">
                  <c:v>5.7</c:v>
                </c:pt>
                <c:pt idx="659">
                  <c:v>5.79</c:v>
                </c:pt>
                <c:pt idx="660">
                  <c:v>5.94</c:v>
                </c:pt>
                <c:pt idx="661">
                  <c:v>5.88</c:v>
                </c:pt>
                <c:pt idx="662">
                  <c:v>6.19</c:v>
                </c:pt>
                <c:pt idx="663">
                  <c:v>6.19</c:v>
                </c:pt>
                <c:pt idx="664">
                  <c:v>6.84</c:v>
                </c:pt>
                <c:pt idx="665">
                  <c:v>6.58</c:v>
                </c:pt>
                <c:pt idx="666">
                  <c:v>6.43</c:v>
                </c:pt>
                <c:pt idx="667">
                  <c:v>6.42</c:v>
                </c:pt>
                <c:pt idx="668">
                  <c:v>6.62</c:v>
                </c:pt>
                <c:pt idx="669">
                  <c:v>7.63</c:v>
                </c:pt>
                <c:pt idx="670">
                  <c:v>7.86</c:v>
                </c:pt>
                <c:pt idx="671">
                  <c:v>8.3800000000000008</c:v>
                </c:pt>
                <c:pt idx="672">
                  <c:v>6.36</c:v>
                </c:pt>
                <c:pt idx="673">
                  <c:v>6.21</c:v>
                </c:pt>
                <c:pt idx="674">
                  <c:v>6.07</c:v>
                </c:pt>
                <c:pt idx="675">
                  <c:v>6.33</c:v>
                </c:pt>
                <c:pt idx="676">
                  <c:v>5.72</c:v>
                </c:pt>
                <c:pt idx="677">
                  <c:v>6.13</c:v>
                </c:pt>
                <c:pt idx="678">
                  <c:v>6.42</c:v>
                </c:pt>
                <c:pt idx="679">
                  <c:v>6.2</c:v>
                </c:pt>
                <c:pt idx="680">
                  <c:v>5.9</c:v>
                </c:pt>
                <c:pt idx="681">
                  <c:v>5.51</c:v>
                </c:pt>
                <c:pt idx="682">
                  <c:v>5.25</c:v>
                </c:pt>
                <c:pt idx="683">
                  <c:v>5.4</c:v>
                </c:pt>
                <c:pt idx="684">
                  <c:v>5.29</c:v>
                </c:pt>
                <c:pt idx="685">
                  <c:v>5.0999999999999996</c:v>
                </c:pt>
                <c:pt idx="686">
                  <c:v>4.72</c:v>
                </c:pt>
                <c:pt idx="687">
                  <c:v>4.9400000000000004</c:v>
                </c:pt>
                <c:pt idx="688">
                  <c:v>4.88</c:v>
                </c:pt>
                <c:pt idx="689">
                  <c:v>5.26</c:v>
                </c:pt>
                <c:pt idx="690">
                  <c:v>5.12</c:v>
                </c:pt>
                <c:pt idx="691">
                  <c:v>4.7300000000000004</c:v>
                </c:pt>
                <c:pt idx="692">
                  <c:v>4.59</c:v>
                </c:pt>
                <c:pt idx="693">
                  <c:v>4.53</c:v>
                </c:pt>
                <c:pt idx="694">
                  <c:v>4.3899999999999997</c:v>
                </c:pt>
                <c:pt idx="695">
                  <c:v>4.43</c:v>
                </c:pt>
                <c:pt idx="696">
                  <c:v>4.47</c:v>
                </c:pt>
                <c:pt idx="697">
                  <c:v>4.6100000000000003</c:v>
                </c:pt>
                <c:pt idx="698">
                  <c:v>5.07</c:v>
                </c:pt>
                <c:pt idx="699">
                  <c:v>5.05</c:v>
                </c:pt>
                <c:pt idx="700">
                  <c:v>4.6100000000000003</c:v>
                </c:pt>
                <c:pt idx="701">
                  <c:v>4.55</c:v>
                </c:pt>
                <c:pt idx="702">
                  <c:v>4.3899999999999997</c:v>
                </c:pt>
                <c:pt idx="703">
                  <c:v>4.38</c:v>
                </c:pt>
                <c:pt idx="704">
                  <c:v>4.46</c:v>
                </c:pt>
                <c:pt idx="705">
                  <c:v>4.6900000000000004</c:v>
                </c:pt>
                <c:pt idx="706">
                  <c:v>4.83</c:v>
                </c:pt>
                <c:pt idx="707">
                  <c:v>5.1100000000000003</c:v>
                </c:pt>
                <c:pt idx="708">
                  <c:v>5.12</c:v>
                </c:pt>
                <c:pt idx="709">
                  <c:v>4.99</c:v>
                </c:pt>
                <c:pt idx="710">
                  <c:v>5.14</c:v>
                </c:pt>
                <c:pt idx="711">
                  <c:v>5.04</c:v>
                </c:pt>
                <c:pt idx="712">
                  <c:v>4.76</c:v>
                </c:pt>
                <c:pt idx="713">
                  <c:v>5</c:v>
                </c:pt>
                <c:pt idx="714">
                  <c:v>4.6100000000000003</c:v>
                </c:pt>
                <c:pt idx="715">
                  <c:v>4.5199999999999996</c:v>
                </c:pt>
                <c:pt idx="716">
                  <c:v>4.91</c:v>
                </c:pt>
                <c:pt idx="717">
                  <c:v>5.32</c:v>
                </c:pt>
                <c:pt idx="718">
                  <c:v>5.84</c:v>
                </c:pt>
                <c:pt idx="719">
                  <c:v>5.52</c:v>
                </c:pt>
                <c:pt idx="720">
                  <c:v>5.64</c:v>
                </c:pt>
                <c:pt idx="721">
                  <c:v>5.53</c:v>
                </c:pt>
                <c:pt idx="722">
                  <c:v>5.8</c:v>
                </c:pt>
                <c:pt idx="723">
                  <c:v>5.29</c:v>
                </c:pt>
                <c:pt idx="724">
                  <c:v>5.75</c:v>
                </c:pt>
                <c:pt idx="725">
                  <c:v>5.93</c:v>
                </c:pt>
                <c:pt idx="726">
                  <c:v>5.76</c:v>
                </c:pt>
                <c:pt idx="727">
                  <c:v>5.72</c:v>
                </c:pt>
                <c:pt idx="728">
                  <c:v>5.39</c:v>
                </c:pt>
                <c:pt idx="729">
                  <c:v>5.76</c:v>
                </c:pt>
                <c:pt idx="730">
                  <c:v>5.63</c:v>
                </c:pt>
                <c:pt idx="731">
                  <c:v>5.83</c:v>
                </c:pt>
                <c:pt idx="732">
                  <c:v>5.45</c:v>
                </c:pt>
                <c:pt idx="733">
                  <c:v>5.71</c:v>
                </c:pt>
                <c:pt idx="734">
                  <c:v>4.8600000000000003</c:v>
                </c:pt>
                <c:pt idx="735">
                  <c:v>5.2</c:v>
                </c:pt>
                <c:pt idx="736">
                  <c:v>4.76</c:v>
                </c:pt>
                <c:pt idx="737">
                  <c:v>4.34</c:v>
                </c:pt>
                <c:pt idx="738">
                  <c:v>4.88</c:v>
                </c:pt>
                <c:pt idx="739">
                  <c:v>5.08</c:v>
                </c:pt>
                <c:pt idx="740">
                  <c:v>5.92</c:v>
                </c:pt>
                <c:pt idx="741">
                  <c:v>6.23</c:v>
                </c:pt>
                <c:pt idx="742">
                  <c:v>7.5</c:v>
                </c:pt>
                <c:pt idx="743">
                  <c:v>7.15</c:v>
                </c:pt>
                <c:pt idx="744">
                  <c:v>7.86</c:v>
                </c:pt>
                <c:pt idx="745">
                  <c:v>7.87</c:v>
                </c:pt>
                <c:pt idx="746">
                  <c:v>8.31</c:v>
                </c:pt>
                <c:pt idx="747">
                  <c:v>8.1999999999999993</c:v>
                </c:pt>
                <c:pt idx="748">
                  <c:v>8.1</c:v>
                </c:pt>
                <c:pt idx="749">
                  <c:v>9.14</c:v>
                </c:pt>
                <c:pt idx="750">
                  <c:v>9.18</c:v>
                </c:pt>
                <c:pt idx="751">
                  <c:v>9.5</c:v>
                </c:pt>
                <c:pt idx="752">
                  <c:v>9.8000000000000007</c:v>
                </c:pt>
                <c:pt idx="753">
                  <c:v>10.92</c:v>
                </c:pt>
                <c:pt idx="754">
                  <c:v>10.6</c:v>
                </c:pt>
                <c:pt idx="755">
                  <c:v>10.66</c:v>
                </c:pt>
                <c:pt idx="756">
                  <c:v>11.37</c:v>
                </c:pt>
                <c:pt idx="757">
                  <c:v>10.99</c:v>
                </c:pt>
                <c:pt idx="758">
                  <c:v>10.79</c:v>
                </c:pt>
                <c:pt idx="759">
                  <c:v>12.32</c:v>
                </c:pt>
                <c:pt idx="760">
                  <c:v>12.44</c:v>
                </c:pt>
                <c:pt idx="761">
                  <c:v>12.3</c:v>
                </c:pt>
                <c:pt idx="762">
                  <c:v>12.53</c:v>
                </c:pt>
                <c:pt idx="763">
                  <c:v>13.58</c:v>
                </c:pt>
                <c:pt idx="764">
                  <c:v>13</c:v>
                </c:pt>
                <c:pt idx="765">
                  <c:v>12.76</c:v>
                </c:pt>
                <c:pt idx="766">
                  <c:v>12.37</c:v>
                </c:pt>
              </c:numCache>
            </c:numRef>
          </c:val>
          <c:extLst>
            <c:ext xmlns:c16="http://schemas.microsoft.com/office/drawing/2014/chart" uri="{C3380CC4-5D6E-409C-BE32-E72D297353CC}">
              <c16:uniqueId val="{00000000-8FB3-2242-9F49-C78ABBA67EE6}"/>
            </c:ext>
          </c:extLst>
        </c:ser>
        <c:dLbls>
          <c:showLegendKey val="0"/>
          <c:showVal val="0"/>
          <c:showCatName val="0"/>
          <c:showSerName val="0"/>
          <c:showPercent val="0"/>
          <c:showBubbleSize val="0"/>
        </c:dLbls>
        <c:gapWidth val="150"/>
        <c:axId val="1073628895"/>
        <c:axId val="1830329647"/>
      </c:barChart>
      <c:lineChart>
        <c:grouping val="standard"/>
        <c:varyColors val="0"/>
        <c:ser>
          <c:idx val="1"/>
          <c:order val="1"/>
          <c:tx>
            <c:strRef>
              <c:f>STOCK!$F$4</c:f>
              <c:strCache>
                <c:ptCount val="1"/>
                <c:pt idx="0">
                  <c:v>Volume (in millions of USD)</c:v>
                </c:pt>
              </c:strCache>
            </c:strRef>
          </c:tx>
          <c:spPr>
            <a:ln w="28575" cap="rnd">
              <a:solidFill>
                <a:schemeClr val="accent2"/>
              </a:solidFill>
              <a:round/>
            </a:ln>
            <a:effectLst/>
          </c:spPr>
          <c:marker>
            <c:symbol val="none"/>
          </c:marker>
          <c:cat>
            <c:numRef>
              <c:f>STOCK!$B$5:$B$771</c:f>
              <c:numCache>
                <c:formatCode>m/d/yyyy</c:formatCode>
                <c:ptCount val="767"/>
                <c:pt idx="0">
                  <c:v>45768</c:v>
                </c:pt>
                <c:pt idx="1">
                  <c:v>45764</c:v>
                </c:pt>
                <c:pt idx="2">
                  <c:v>45763</c:v>
                </c:pt>
                <c:pt idx="3">
                  <c:v>45762</c:v>
                </c:pt>
                <c:pt idx="4">
                  <c:v>45761</c:v>
                </c:pt>
                <c:pt idx="5">
                  <c:v>45758</c:v>
                </c:pt>
                <c:pt idx="6">
                  <c:v>45757</c:v>
                </c:pt>
                <c:pt idx="7">
                  <c:v>45756</c:v>
                </c:pt>
                <c:pt idx="8">
                  <c:v>45755</c:v>
                </c:pt>
                <c:pt idx="9">
                  <c:v>45754</c:v>
                </c:pt>
                <c:pt idx="10">
                  <c:v>45751</c:v>
                </c:pt>
                <c:pt idx="11">
                  <c:v>45750</c:v>
                </c:pt>
                <c:pt idx="12">
                  <c:v>45749</c:v>
                </c:pt>
                <c:pt idx="13">
                  <c:v>45748</c:v>
                </c:pt>
                <c:pt idx="14">
                  <c:v>45747</c:v>
                </c:pt>
                <c:pt idx="15">
                  <c:v>45744</c:v>
                </c:pt>
                <c:pt idx="16">
                  <c:v>45743</c:v>
                </c:pt>
                <c:pt idx="17">
                  <c:v>45742</c:v>
                </c:pt>
                <c:pt idx="18">
                  <c:v>45741</c:v>
                </c:pt>
                <c:pt idx="19">
                  <c:v>45740</c:v>
                </c:pt>
                <c:pt idx="20">
                  <c:v>45737</c:v>
                </c:pt>
                <c:pt idx="21">
                  <c:v>45736</c:v>
                </c:pt>
                <c:pt idx="22">
                  <c:v>45735</c:v>
                </c:pt>
                <c:pt idx="23">
                  <c:v>45734</c:v>
                </c:pt>
                <c:pt idx="24">
                  <c:v>45733</c:v>
                </c:pt>
                <c:pt idx="25">
                  <c:v>45730</c:v>
                </c:pt>
                <c:pt idx="26">
                  <c:v>45729</c:v>
                </c:pt>
                <c:pt idx="27">
                  <c:v>45728</c:v>
                </c:pt>
                <c:pt idx="28">
                  <c:v>45727</c:v>
                </c:pt>
                <c:pt idx="29">
                  <c:v>45726</c:v>
                </c:pt>
                <c:pt idx="30">
                  <c:v>45723</c:v>
                </c:pt>
                <c:pt idx="31">
                  <c:v>45722</c:v>
                </c:pt>
                <c:pt idx="32">
                  <c:v>45721</c:v>
                </c:pt>
                <c:pt idx="33">
                  <c:v>45720</c:v>
                </c:pt>
                <c:pt idx="34">
                  <c:v>45719</c:v>
                </c:pt>
                <c:pt idx="35">
                  <c:v>45716</c:v>
                </c:pt>
                <c:pt idx="36">
                  <c:v>45715</c:v>
                </c:pt>
                <c:pt idx="37">
                  <c:v>45714</c:v>
                </c:pt>
                <c:pt idx="38">
                  <c:v>45713</c:v>
                </c:pt>
                <c:pt idx="39">
                  <c:v>45712</c:v>
                </c:pt>
                <c:pt idx="40">
                  <c:v>45709</c:v>
                </c:pt>
                <c:pt idx="41">
                  <c:v>45708</c:v>
                </c:pt>
                <c:pt idx="42">
                  <c:v>45707</c:v>
                </c:pt>
                <c:pt idx="43">
                  <c:v>45706</c:v>
                </c:pt>
                <c:pt idx="44">
                  <c:v>45702</c:v>
                </c:pt>
                <c:pt idx="45">
                  <c:v>45701</c:v>
                </c:pt>
                <c:pt idx="46">
                  <c:v>45700</c:v>
                </c:pt>
                <c:pt idx="47">
                  <c:v>45699</c:v>
                </c:pt>
                <c:pt idx="48">
                  <c:v>45698</c:v>
                </c:pt>
                <c:pt idx="49">
                  <c:v>45695</c:v>
                </c:pt>
                <c:pt idx="50">
                  <c:v>45694</c:v>
                </c:pt>
                <c:pt idx="51">
                  <c:v>45693</c:v>
                </c:pt>
                <c:pt idx="52">
                  <c:v>45692</c:v>
                </c:pt>
                <c:pt idx="53">
                  <c:v>45691</c:v>
                </c:pt>
                <c:pt idx="54">
                  <c:v>45688</c:v>
                </c:pt>
                <c:pt idx="55">
                  <c:v>45687</c:v>
                </c:pt>
                <c:pt idx="56">
                  <c:v>45686</c:v>
                </c:pt>
                <c:pt idx="57">
                  <c:v>45685</c:v>
                </c:pt>
                <c:pt idx="58">
                  <c:v>45684</c:v>
                </c:pt>
                <c:pt idx="59">
                  <c:v>45681</c:v>
                </c:pt>
                <c:pt idx="60">
                  <c:v>45680</c:v>
                </c:pt>
                <c:pt idx="61">
                  <c:v>45679</c:v>
                </c:pt>
                <c:pt idx="62">
                  <c:v>45678</c:v>
                </c:pt>
                <c:pt idx="63">
                  <c:v>45674</c:v>
                </c:pt>
                <c:pt idx="64">
                  <c:v>45673</c:v>
                </c:pt>
                <c:pt idx="65">
                  <c:v>45672</c:v>
                </c:pt>
                <c:pt idx="66">
                  <c:v>45671</c:v>
                </c:pt>
                <c:pt idx="67">
                  <c:v>45670</c:v>
                </c:pt>
                <c:pt idx="68">
                  <c:v>45667</c:v>
                </c:pt>
                <c:pt idx="69">
                  <c:v>45665</c:v>
                </c:pt>
                <c:pt idx="70">
                  <c:v>45664</c:v>
                </c:pt>
                <c:pt idx="71">
                  <c:v>45663</c:v>
                </c:pt>
                <c:pt idx="72">
                  <c:v>45660</c:v>
                </c:pt>
                <c:pt idx="73">
                  <c:v>45659</c:v>
                </c:pt>
                <c:pt idx="74">
                  <c:v>45657</c:v>
                </c:pt>
                <c:pt idx="75">
                  <c:v>45656</c:v>
                </c:pt>
                <c:pt idx="76">
                  <c:v>45653</c:v>
                </c:pt>
                <c:pt idx="77">
                  <c:v>45652</c:v>
                </c:pt>
                <c:pt idx="78">
                  <c:v>45650</c:v>
                </c:pt>
                <c:pt idx="79">
                  <c:v>45649</c:v>
                </c:pt>
                <c:pt idx="80">
                  <c:v>45646</c:v>
                </c:pt>
                <c:pt idx="81">
                  <c:v>45645</c:v>
                </c:pt>
                <c:pt idx="82">
                  <c:v>45644</c:v>
                </c:pt>
                <c:pt idx="83">
                  <c:v>45643</c:v>
                </c:pt>
                <c:pt idx="84">
                  <c:v>45642</c:v>
                </c:pt>
                <c:pt idx="85">
                  <c:v>45639</c:v>
                </c:pt>
                <c:pt idx="86">
                  <c:v>45638</c:v>
                </c:pt>
                <c:pt idx="87">
                  <c:v>45637</c:v>
                </c:pt>
                <c:pt idx="88">
                  <c:v>45636</c:v>
                </c:pt>
                <c:pt idx="89">
                  <c:v>45635</c:v>
                </c:pt>
                <c:pt idx="90">
                  <c:v>45632</c:v>
                </c:pt>
                <c:pt idx="91">
                  <c:v>45631</c:v>
                </c:pt>
                <c:pt idx="92">
                  <c:v>45630</c:v>
                </c:pt>
                <c:pt idx="93">
                  <c:v>45629</c:v>
                </c:pt>
                <c:pt idx="94">
                  <c:v>45628</c:v>
                </c:pt>
                <c:pt idx="95">
                  <c:v>45625</c:v>
                </c:pt>
                <c:pt idx="96">
                  <c:v>45623</c:v>
                </c:pt>
                <c:pt idx="97">
                  <c:v>45622</c:v>
                </c:pt>
                <c:pt idx="98">
                  <c:v>45621</c:v>
                </c:pt>
                <c:pt idx="99">
                  <c:v>45618</c:v>
                </c:pt>
                <c:pt idx="100">
                  <c:v>45617</c:v>
                </c:pt>
                <c:pt idx="101">
                  <c:v>45616</c:v>
                </c:pt>
                <c:pt idx="102">
                  <c:v>45615</c:v>
                </c:pt>
                <c:pt idx="103">
                  <c:v>45614</c:v>
                </c:pt>
                <c:pt idx="104">
                  <c:v>45611</c:v>
                </c:pt>
                <c:pt idx="105">
                  <c:v>45610</c:v>
                </c:pt>
                <c:pt idx="106">
                  <c:v>45609</c:v>
                </c:pt>
                <c:pt idx="107">
                  <c:v>45608</c:v>
                </c:pt>
                <c:pt idx="108">
                  <c:v>45607</c:v>
                </c:pt>
                <c:pt idx="109">
                  <c:v>45604</c:v>
                </c:pt>
                <c:pt idx="110">
                  <c:v>45603</c:v>
                </c:pt>
                <c:pt idx="111">
                  <c:v>45602</c:v>
                </c:pt>
                <c:pt idx="112">
                  <c:v>45601</c:v>
                </c:pt>
                <c:pt idx="113">
                  <c:v>45600</c:v>
                </c:pt>
                <c:pt idx="114">
                  <c:v>45597</c:v>
                </c:pt>
                <c:pt idx="115">
                  <c:v>45596</c:v>
                </c:pt>
                <c:pt idx="116">
                  <c:v>45595</c:v>
                </c:pt>
                <c:pt idx="117">
                  <c:v>45594</c:v>
                </c:pt>
                <c:pt idx="118">
                  <c:v>45593</c:v>
                </c:pt>
                <c:pt idx="119">
                  <c:v>45590</c:v>
                </c:pt>
                <c:pt idx="120">
                  <c:v>45589</c:v>
                </c:pt>
                <c:pt idx="121">
                  <c:v>45588</c:v>
                </c:pt>
                <c:pt idx="122">
                  <c:v>45587</c:v>
                </c:pt>
                <c:pt idx="123">
                  <c:v>45586</c:v>
                </c:pt>
                <c:pt idx="124">
                  <c:v>45583</c:v>
                </c:pt>
                <c:pt idx="125">
                  <c:v>45582</c:v>
                </c:pt>
                <c:pt idx="126">
                  <c:v>45581</c:v>
                </c:pt>
                <c:pt idx="127">
                  <c:v>45580</c:v>
                </c:pt>
                <c:pt idx="128">
                  <c:v>45579</c:v>
                </c:pt>
                <c:pt idx="129">
                  <c:v>45576</c:v>
                </c:pt>
                <c:pt idx="130">
                  <c:v>45575</c:v>
                </c:pt>
                <c:pt idx="131">
                  <c:v>45574</c:v>
                </c:pt>
                <c:pt idx="132">
                  <c:v>45573</c:v>
                </c:pt>
                <c:pt idx="133">
                  <c:v>45572</c:v>
                </c:pt>
                <c:pt idx="134">
                  <c:v>45569</c:v>
                </c:pt>
                <c:pt idx="135">
                  <c:v>45568</c:v>
                </c:pt>
                <c:pt idx="136">
                  <c:v>45567</c:v>
                </c:pt>
                <c:pt idx="137">
                  <c:v>45566</c:v>
                </c:pt>
                <c:pt idx="138">
                  <c:v>45565</c:v>
                </c:pt>
                <c:pt idx="139">
                  <c:v>45562</c:v>
                </c:pt>
                <c:pt idx="140">
                  <c:v>45561</c:v>
                </c:pt>
                <c:pt idx="141">
                  <c:v>45560</c:v>
                </c:pt>
                <c:pt idx="142">
                  <c:v>45559</c:v>
                </c:pt>
                <c:pt idx="143">
                  <c:v>45558</c:v>
                </c:pt>
                <c:pt idx="144">
                  <c:v>45555</c:v>
                </c:pt>
                <c:pt idx="145">
                  <c:v>45554</c:v>
                </c:pt>
                <c:pt idx="146">
                  <c:v>45553</c:v>
                </c:pt>
                <c:pt idx="147">
                  <c:v>45552</c:v>
                </c:pt>
                <c:pt idx="148">
                  <c:v>45551</c:v>
                </c:pt>
                <c:pt idx="149">
                  <c:v>45548</c:v>
                </c:pt>
                <c:pt idx="150">
                  <c:v>45547</c:v>
                </c:pt>
                <c:pt idx="151">
                  <c:v>45546</c:v>
                </c:pt>
                <c:pt idx="152">
                  <c:v>45545</c:v>
                </c:pt>
                <c:pt idx="153">
                  <c:v>45544</c:v>
                </c:pt>
                <c:pt idx="154">
                  <c:v>45541</c:v>
                </c:pt>
                <c:pt idx="155">
                  <c:v>45540</c:v>
                </c:pt>
                <c:pt idx="156">
                  <c:v>45539</c:v>
                </c:pt>
                <c:pt idx="157">
                  <c:v>45538</c:v>
                </c:pt>
                <c:pt idx="158">
                  <c:v>45534</c:v>
                </c:pt>
                <c:pt idx="159">
                  <c:v>45533</c:v>
                </c:pt>
                <c:pt idx="160">
                  <c:v>45532</c:v>
                </c:pt>
                <c:pt idx="161">
                  <c:v>45531</c:v>
                </c:pt>
                <c:pt idx="162">
                  <c:v>45530</c:v>
                </c:pt>
                <c:pt idx="163">
                  <c:v>45527</c:v>
                </c:pt>
                <c:pt idx="164">
                  <c:v>45526</c:v>
                </c:pt>
                <c:pt idx="165">
                  <c:v>45525</c:v>
                </c:pt>
                <c:pt idx="166">
                  <c:v>45524</c:v>
                </c:pt>
                <c:pt idx="167">
                  <c:v>45523</c:v>
                </c:pt>
                <c:pt idx="168">
                  <c:v>45520</c:v>
                </c:pt>
                <c:pt idx="169">
                  <c:v>45519</c:v>
                </c:pt>
                <c:pt idx="170">
                  <c:v>45518</c:v>
                </c:pt>
                <c:pt idx="171">
                  <c:v>45517</c:v>
                </c:pt>
                <c:pt idx="172">
                  <c:v>45516</c:v>
                </c:pt>
                <c:pt idx="173">
                  <c:v>45513</c:v>
                </c:pt>
                <c:pt idx="174">
                  <c:v>45512</c:v>
                </c:pt>
                <c:pt idx="175">
                  <c:v>45511</c:v>
                </c:pt>
                <c:pt idx="176">
                  <c:v>45510</c:v>
                </c:pt>
                <c:pt idx="177">
                  <c:v>45509</c:v>
                </c:pt>
                <c:pt idx="178">
                  <c:v>45506</c:v>
                </c:pt>
                <c:pt idx="179">
                  <c:v>45505</c:v>
                </c:pt>
                <c:pt idx="180">
                  <c:v>45504</c:v>
                </c:pt>
                <c:pt idx="181">
                  <c:v>45503</c:v>
                </c:pt>
                <c:pt idx="182">
                  <c:v>45502</c:v>
                </c:pt>
                <c:pt idx="183">
                  <c:v>45499</c:v>
                </c:pt>
                <c:pt idx="184">
                  <c:v>45498</c:v>
                </c:pt>
                <c:pt idx="185">
                  <c:v>45497</c:v>
                </c:pt>
                <c:pt idx="186">
                  <c:v>45496</c:v>
                </c:pt>
                <c:pt idx="187">
                  <c:v>45495</c:v>
                </c:pt>
                <c:pt idx="188">
                  <c:v>45492</c:v>
                </c:pt>
                <c:pt idx="189">
                  <c:v>45491</c:v>
                </c:pt>
                <c:pt idx="190">
                  <c:v>45490</c:v>
                </c:pt>
                <c:pt idx="191">
                  <c:v>45489</c:v>
                </c:pt>
                <c:pt idx="192">
                  <c:v>45488</c:v>
                </c:pt>
                <c:pt idx="193">
                  <c:v>45485</c:v>
                </c:pt>
                <c:pt idx="194">
                  <c:v>45484</c:v>
                </c:pt>
                <c:pt idx="195">
                  <c:v>45483</c:v>
                </c:pt>
                <c:pt idx="196">
                  <c:v>45482</c:v>
                </c:pt>
                <c:pt idx="197">
                  <c:v>45481</c:v>
                </c:pt>
                <c:pt idx="198">
                  <c:v>45478</c:v>
                </c:pt>
                <c:pt idx="199">
                  <c:v>45476</c:v>
                </c:pt>
                <c:pt idx="200">
                  <c:v>45475</c:v>
                </c:pt>
                <c:pt idx="201">
                  <c:v>45474</c:v>
                </c:pt>
                <c:pt idx="202">
                  <c:v>45471</c:v>
                </c:pt>
                <c:pt idx="203">
                  <c:v>45470</c:v>
                </c:pt>
                <c:pt idx="204">
                  <c:v>45469</c:v>
                </c:pt>
                <c:pt idx="205">
                  <c:v>45468</c:v>
                </c:pt>
                <c:pt idx="206">
                  <c:v>45467</c:v>
                </c:pt>
                <c:pt idx="207">
                  <c:v>45464</c:v>
                </c:pt>
                <c:pt idx="208">
                  <c:v>45463</c:v>
                </c:pt>
                <c:pt idx="209">
                  <c:v>45461</c:v>
                </c:pt>
                <c:pt idx="210">
                  <c:v>45460</c:v>
                </c:pt>
                <c:pt idx="211">
                  <c:v>45457</c:v>
                </c:pt>
                <c:pt idx="212">
                  <c:v>45456</c:v>
                </c:pt>
                <c:pt idx="213">
                  <c:v>45455</c:v>
                </c:pt>
                <c:pt idx="214">
                  <c:v>45454</c:v>
                </c:pt>
                <c:pt idx="215">
                  <c:v>45453</c:v>
                </c:pt>
                <c:pt idx="216">
                  <c:v>45450</c:v>
                </c:pt>
                <c:pt idx="217">
                  <c:v>45449</c:v>
                </c:pt>
                <c:pt idx="218">
                  <c:v>45448</c:v>
                </c:pt>
                <c:pt idx="219">
                  <c:v>45447</c:v>
                </c:pt>
                <c:pt idx="220">
                  <c:v>45446</c:v>
                </c:pt>
                <c:pt idx="221">
                  <c:v>45443</c:v>
                </c:pt>
                <c:pt idx="222">
                  <c:v>45442</c:v>
                </c:pt>
                <c:pt idx="223">
                  <c:v>45441</c:v>
                </c:pt>
                <c:pt idx="224">
                  <c:v>45440</c:v>
                </c:pt>
                <c:pt idx="225">
                  <c:v>45436</c:v>
                </c:pt>
                <c:pt idx="226">
                  <c:v>45435</c:v>
                </c:pt>
                <c:pt idx="227">
                  <c:v>45434</c:v>
                </c:pt>
                <c:pt idx="228">
                  <c:v>45433</c:v>
                </c:pt>
                <c:pt idx="229">
                  <c:v>45432</c:v>
                </c:pt>
                <c:pt idx="230">
                  <c:v>45429</c:v>
                </c:pt>
                <c:pt idx="231">
                  <c:v>45428</c:v>
                </c:pt>
                <c:pt idx="232">
                  <c:v>45427</c:v>
                </c:pt>
                <c:pt idx="233">
                  <c:v>45426</c:v>
                </c:pt>
                <c:pt idx="234">
                  <c:v>45425</c:v>
                </c:pt>
                <c:pt idx="235">
                  <c:v>45422</c:v>
                </c:pt>
                <c:pt idx="236">
                  <c:v>45421</c:v>
                </c:pt>
                <c:pt idx="237">
                  <c:v>45420</c:v>
                </c:pt>
                <c:pt idx="238">
                  <c:v>45419</c:v>
                </c:pt>
                <c:pt idx="239">
                  <c:v>45418</c:v>
                </c:pt>
                <c:pt idx="240">
                  <c:v>45415</c:v>
                </c:pt>
                <c:pt idx="241">
                  <c:v>45414</c:v>
                </c:pt>
                <c:pt idx="242">
                  <c:v>45413</c:v>
                </c:pt>
                <c:pt idx="243">
                  <c:v>45412</c:v>
                </c:pt>
                <c:pt idx="244">
                  <c:v>45411</c:v>
                </c:pt>
                <c:pt idx="245">
                  <c:v>45408</c:v>
                </c:pt>
                <c:pt idx="246">
                  <c:v>45407</c:v>
                </c:pt>
                <c:pt idx="247">
                  <c:v>45406</c:v>
                </c:pt>
                <c:pt idx="248">
                  <c:v>45405</c:v>
                </c:pt>
                <c:pt idx="249">
                  <c:v>45404</c:v>
                </c:pt>
                <c:pt idx="250">
                  <c:v>45401</c:v>
                </c:pt>
                <c:pt idx="251">
                  <c:v>45400</c:v>
                </c:pt>
                <c:pt idx="252">
                  <c:v>45399</c:v>
                </c:pt>
                <c:pt idx="253">
                  <c:v>45398</c:v>
                </c:pt>
                <c:pt idx="254">
                  <c:v>45397</c:v>
                </c:pt>
                <c:pt idx="255">
                  <c:v>45394</c:v>
                </c:pt>
                <c:pt idx="256">
                  <c:v>45393</c:v>
                </c:pt>
                <c:pt idx="257">
                  <c:v>45392</c:v>
                </c:pt>
                <c:pt idx="258">
                  <c:v>45391</c:v>
                </c:pt>
                <c:pt idx="259">
                  <c:v>45390</c:v>
                </c:pt>
                <c:pt idx="260">
                  <c:v>45387</c:v>
                </c:pt>
                <c:pt idx="261">
                  <c:v>45386</c:v>
                </c:pt>
                <c:pt idx="262">
                  <c:v>45385</c:v>
                </c:pt>
                <c:pt idx="263">
                  <c:v>45384</c:v>
                </c:pt>
                <c:pt idx="264">
                  <c:v>45383</c:v>
                </c:pt>
                <c:pt idx="265">
                  <c:v>45379</c:v>
                </c:pt>
                <c:pt idx="266">
                  <c:v>45378</c:v>
                </c:pt>
                <c:pt idx="267">
                  <c:v>45377</c:v>
                </c:pt>
                <c:pt idx="268">
                  <c:v>45376</c:v>
                </c:pt>
                <c:pt idx="269">
                  <c:v>45373</c:v>
                </c:pt>
                <c:pt idx="270">
                  <c:v>45372</c:v>
                </c:pt>
                <c:pt idx="271">
                  <c:v>45371</c:v>
                </c:pt>
                <c:pt idx="272">
                  <c:v>45370</c:v>
                </c:pt>
                <c:pt idx="273">
                  <c:v>45369</c:v>
                </c:pt>
                <c:pt idx="274">
                  <c:v>45366</c:v>
                </c:pt>
                <c:pt idx="275">
                  <c:v>45365</c:v>
                </c:pt>
                <c:pt idx="276">
                  <c:v>45364</c:v>
                </c:pt>
                <c:pt idx="277">
                  <c:v>45363</c:v>
                </c:pt>
                <c:pt idx="278">
                  <c:v>45362</c:v>
                </c:pt>
                <c:pt idx="279">
                  <c:v>45359</c:v>
                </c:pt>
                <c:pt idx="280">
                  <c:v>45358</c:v>
                </c:pt>
                <c:pt idx="281">
                  <c:v>45357</c:v>
                </c:pt>
                <c:pt idx="282">
                  <c:v>45356</c:v>
                </c:pt>
                <c:pt idx="283">
                  <c:v>45355</c:v>
                </c:pt>
                <c:pt idx="284">
                  <c:v>45352</c:v>
                </c:pt>
                <c:pt idx="285">
                  <c:v>45351</c:v>
                </c:pt>
                <c:pt idx="286">
                  <c:v>45350</c:v>
                </c:pt>
                <c:pt idx="287">
                  <c:v>45349</c:v>
                </c:pt>
                <c:pt idx="288">
                  <c:v>45348</c:v>
                </c:pt>
                <c:pt idx="289">
                  <c:v>45345</c:v>
                </c:pt>
                <c:pt idx="290">
                  <c:v>45344</c:v>
                </c:pt>
                <c:pt idx="291">
                  <c:v>45343</c:v>
                </c:pt>
                <c:pt idx="292">
                  <c:v>45342</c:v>
                </c:pt>
                <c:pt idx="293">
                  <c:v>45338</c:v>
                </c:pt>
                <c:pt idx="294">
                  <c:v>45337</c:v>
                </c:pt>
                <c:pt idx="295">
                  <c:v>45336</c:v>
                </c:pt>
                <c:pt idx="296">
                  <c:v>45335</c:v>
                </c:pt>
                <c:pt idx="297">
                  <c:v>45334</c:v>
                </c:pt>
                <c:pt idx="298">
                  <c:v>45331</c:v>
                </c:pt>
                <c:pt idx="299">
                  <c:v>45330</c:v>
                </c:pt>
                <c:pt idx="300">
                  <c:v>45329</c:v>
                </c:pt>
                <c:pt idx="301">
                  <c:v>45328</c:v>
                </c:pt>
                <c:pt idx="302">
                  <c:v>45327</c:v>
                </c:pt>
                <c:pt idx="303">
                  <c:v>45324</c:v>
                </c:pt>
                <c:pt idx="304">
                  <c:v>45323</c:v>
                </c:pt>
                <c:pt idx="305">
                  <c:v>45322</c:v>
                </c:pt>
                <c:pt idx="306">
                  <c:v>45321</c:v>
                </c:pt>
                <c:pt idx="307">
                  <c:v>45320</c:v>
                </c:pt>
                <c:pt idx="308">
                  <c:v>45317</c:v>
                </c:pt>
                <c:pt idx="309">
                  <c:v>45316</c:v>
                </c:pt>
                <c:pt idx="310">
                  <c:v>45315</c:v>
                </c:pt>
                <c:pt idx="311">
                  <c:v>45314</c:v>
                </c:pt>
                <c:pt idx="312">
                  <c:v>45313</c:v>
                </c:pt>
                <c:pt idx="313">
                  <c:v>45310</c:v>
                </c:pt>
                <c:pt idx="314">
                  <c:v>45309</c:v>
                </c:pt>
                <c:pt idx="315">
                  <c:v>45308</c:v>
                </c:pt>
                <c:pt idx="316">
                  <c:v>45307</c:v>
                </c:pt>
                <c:pt idx="317">
                  <c:v>45303</c:v>
                </c:pt>
                <c:pt idx="318">
                  <c:v>45302</c:v>
                </c:pt>
                <c:pt idx="319">
                  <c:v>45301</c:v>
                </c:pt>
                <c:pt idx="320">
                  <c:v>45300</c:v>
                </c:pt>
                <c:pt idx="321">
                  <c:v>45299</c:v>
                </c:pt>
                <c:pt idx="322">
                  <c:v>45296</c:v>
                </c:pt>
                <c:pt idx="323">
                  <c:v>45295</c:v>
                </c:pt>
                <c:pt idx="324">
                  <c:v>45294</c:v>
                </c:pt>
                <c:pt idx="325">
                  <c:v>45293</c:v>
                </c:pt>
                <c:pt idx="326">
                  <c:v>45289</c:v>
                </c:pt>
                <c:pt idx="327">
                  <c:v>45288</c:v>
                </c:pt>
                <c:pt idx="328">
                  <c:v>45287</c:v>
                </c:pt>
                <c:pt idx="329">
                  <c:v>45286</c:v>
                </c:pt>
                <c:pt idx="330">
                  <c:v>45282</c:v>
                </c:pt>
                <c:pt idx="331">
                  <c:v>45281</c:v>
                </c:pt>
                <c:pt idx="332">
                  <c:v>45280</c:v>
                </c:pt>
                <c:pt idx="333">
                  <c:v>45279</c:v>
                </c:pt>
                <c:pt idx="334">
                  <c:v>45278</c:v>
                </c:pt>
                <c:pt idx="335">
                  <c:v>45275</c:v>
                </c:pt>
                <c:pt idx="336">
                  <c:v>45274</c:v>
                </c:pt>
                <c:pt idx="337">
                  <c:v>45273</c:v>
                </c:pt>
                <c:pt idx="338">
                  <c:v>45272</c:v>
                </c:pt>
                <c:pt idx="339">
                  <c:v>45271</c:v>
                </c:pt>
                <c:pt idx="340">
                  <c:v>45268</c:v>
                </c:pt>
                <c:pt idx="341">
                  <c:v>45267</c:v>
                </c:pt>
                <c:pt idx="342">
                  <c:v>45266</c:v>
                </c:pt>
                <c:pt idx="343">
                  <c:v>45265</c:v>
                </c:pt>
                <c:pt idx="344">
                  <c:v>45264</c:v>
                </c:pt>
                <c:pt idx="345">
                  <c:v>45261</c:v>
                </c:pt>
                <c:pt idx="346">
                  <c:v>45260</c:v>
                </c:pt>
                <c:pt idx="347">
                  <c:v>45259</c:v>
                </c:pt>
                <c:pt idx="348">
                  <c:v>45258</c:v>
                </c:pt>
                <c:pt idx="349">
                  <c:v>45257</c:v>
                </c:pt>
                <c:pt idx="350">
                  <c:v>45254</c:v>
                </c:pt>
                <c:pt idx="351">
                  <c:v>45252</c:v>
                </c:pt>
                <c:pt idx="352">
                  <c:v>45251</c:v>
                </c:pt>
                <c:pt idx="353">
                  <c:v>45250</c:v>
                </c:pt>
                <c:pt idx="354">
                  <c:v>45247</c:v>
                </c:pt>
                <c:pt idx="355">
                  <c:v>45246</c:v>
                </c:pt>
                <c:pt idx="356">
                  <c:v>45245</c:v>
                </c:pt>
                <c:pt idx="357">
                  <c:v>45244</c:v>
                </c:pt>
                <c:pt idx="358">
                  <c:v>45243</c:v>
                </c:pt>
                <c:pt idx="359">
                  <c:v>45240</c:v>
                </c:pt>
                <c:pt idx="360">
                  <c:v>45239</c:v>
                </c:pt>
                <c:pt idx="361">
                  <c:v>45238</c:v>
                </c:pt>
                <c:pt idx="362">
                  <c:v>45237</c:v>
                </c:pt>
                <c:pt idx="363">
                  <c:v>45236</c:v>
                </c:pt>
                <c:pt idx="364">
                  <c:v>45233</c:v>
                </c:pt>
                <c:pt idx="365">
                  <c:v>45232</c:v>
                </c:pt>
                <c:pt idx="366">
                  <c:v>45231</c:v>
                </c:pt>
                <c:pt idx="367">
                  <c:v>45230</c:v>
                </c:pt>
                <c:pt idx="368">
                  <c:v>45229</c:v>
                </c:pt>
                <c:pt idx="369">
                  <c:v>45226</c:v>
                </c:pt>
                <c:pt idx="370">
                  <c:v>45225</c:v>
                </c:pt>
                <c:pt idx="371">
                  <c:v>45224</c:v>
                </c:pt>
                <c:pt idx="372">
                  <c:v>45223</c:v>
                </c:pt>
                <c:pt idx="373">
                  <c:v>45222</c:v>
                </c:pt>
                <c:pt idx="374">
                  <c:v>45219</c:v>
                </c:pt>
                <c:pt idx="375">
                  <c:v>45218</c:v>
                </c:pt>
                <c:pt idx="376">
                  <c:v>45217</c:v>
                </c:pt>
                <c:pt idx="377">
                  <c:v>45216</c:v>
                </c:pt>
                <c:pt idx="378">
                  <c:v>45215</c:v>
                </c:pt>
                <c:pt idx="379">
                  <c:v>45212</c:v>
                </c:pt>
                <c:pt idx="380">
                  <c:v>45211</c:v>
                </c:pt>
                <c:pt idx="381">
                  <c:v>45210</c:v>
                </c:pt>
                <c:pt idx="382">
                  <c:v>45209</c:v>
                </c:pt>
                <c:pt idx="383">
                  <c:v>45208</c:v>
                </c:pt>
                <c:pt idx="384">
                  <c:v>45205</c:v>
                </c:pt>
                <c:pt idx="385">
                  <c:v>45204</c:v>
                </c:pt>
                <c:pt idx="386">
                  <c:v>45203</c:v>
                </c:pt>
                <c:pt idx="387">
                  <c:v>45202</c:v>
                </c:pt>
                <c:pt idx="388">
                  <c:v>45201</c:v>
                </c:pt>
                <c:pt idx="389">
                  <c:v>45198</c:v>
                </c:pt>
                <c:pt idx="390">
                  <c:v>45197</c:v>
                </c:pt>
                <c:pt idx="391">
                  <c:v>45196</c:v>
                </c:pt>
                <c:pt idx="392">
                  <c:v>45195</c:v>
                </c:pt>
                <c:pt idx="393">
                  <c:v>45194</c:v>
                </c:pt>
                <c:pt idx="394">
                  <c:v>45191</c:v>
                </c:pt>
                <c:pt idx="395">
                  <c:v>45190</c:v>
                </c:pt>
                <c:pt idx="396">
                  <c:v>45189</c:v>
                </c:pt>
                <c:pt idx="397">
                  <c:v>45188</c:v>
                </c:pt>
                <c:pt idx="398">
                  <c:v>45187</c:v>
                </c:pt>
                <c:pt idx="399">
                  <c:v>45184</c:v>
                </c:pt>
                <c:pt idx="400">
                  <c:v>45183</c:v>
                </c:pt>
                <c:pt idx="401">
                  <c:v>45182</c:v>
                </c:pt>
                <c:pt idx="402">
                  <c:v>45181</c:v>
                </c:pt>
                <c:pt idx="403">
                  <c:v>45180</c:v>
                </c:pt>
                <c:pt idx="404">
                  <c:v>45177</c:v>
                </c:pt>
                <c:pt idx="405">
                  <c:v>45176</c:v>
                </c:pt>
                <c:pt idx="406">
                  <c:v>45175</c:v>
                </c:pt>
                <c:pt idx="407">
                  <c:v>45174</c:v>
                </c:pt>
                <c:pt idx="408">
                  <c:v>45170</c:v>
                </c:pt>
                <c:pt idx="409">
                  <c:v>45169</c:v>
                </c:pt>
                <c:pt idx="410">
                  <c:v>45168</c:v>
                </c:pt>
                <c:pt idx="411">
                  <c:v>45167</c:v>
                </c:pt>
                <c:pt idx="412">
                  <c:v>45166</c:v>
                </c:pt>
                <c:pt idx="413">
                  <c:v>45163</c:v>
                </c:pt>
                <c:pt idx="414">
                  <c:v>45162</c:v>
                </c:pt>
                <c:pt idx="415">
                  <c:v>45161</c:v>
                </c:pt>
                <c:pt idx="416">
                  <c:v>45160</c:v>
                </c:pt>
                <c:pt idx="417">
                  <c:v>45159</c:v>
                </c:pt>
                <c:pt idx="418">
                  <c:v>45156</c:v>
                </c:pt>
                <c:pt idx="419">
                  <c:v>45155</c:v>
                </c:pt>
                <c:pt idx="420">
                  <c:v>45154</c:v>
                </c:pt>
                <c:pt idx="421">
                  <c:v>45153</c:v>
                </c:pt>
                <c:pt idx="422">
                  <c:v>45152</c:v>
                </c:pt>
                <c:pt idx="423">
                  <c:v>45149</c:v>
                </c:pt>
                <c:pt idx="424">
                  <c:v>45148</c:v>
                </c:pt>
                <c:pt idx="425">
                  <c:v>45147</c:v>
                </c:pt>
                <c:pt idx="426">
                  <c:v>45146</c:v>
                </c:pt>
                <c:pt idx="427">
                  <c:v>45145</c:v>
                </c:pt>
                <c:pt idx="428">
                  <c:v>45142</c:v>
                </c:pt>
                <c:pt idx="429">
                  <c:v>45141</c:v>
                </c:pt>
                <c:pt idx="430">
                  <c:v>45140</c:v>
                </c:pt>
                <c:pt idx="431">
                  <c:v>45139</c:v>
                </c:pt>
                <c:pt idx="432">
                  <c:v>45138</c:v>
                </c:pt>
                <c:pt idx="433">
                  <c:v>45135</c:v>
                </c:pt>
                <c:pt idx="434">
                  <c:v>45134</c:v>
                </c:pt>
                <c:pt idx="435">
                  <c:v>45133</c:v>
                </c:pt>
                <c:pt idx="436">
                  <c:v>45132</c:v>
                </c:pt>
                <c:pt idx="437">
                  <c:v>45131</c:v>
                </c:pt>
                <c:pt idx="438">
                  <c:v>45128</c:v>
                </c:pt>
                <c:pt idx="439">
                  <c:v>45127</c:v>
                </c:pt>
                <c:pt idx="440">
                  <c:v>45126</c:v>
                </c:pt>
                <c:pt idx="441">
                  <c:v>45125</c:v>
                </c:pt>
                <c:pt idx="442">
                  <c:v>45124</c:v>
                </c:pt>
                <c:pt idx="443">
                  <c:v>45121</c:v>
                </c:pt>
                <c:pt idx="444">
                  <c:v>45120</c:v>
                </c:pt>
                <c:pt idx="445">
                  <c:v>45119</c:v>
                </c:pt>
                <c:pt idx="446">
                  <c:v>45118</c:v>
                </c:pt>
                <c:pt idx="447">
                  <c:v>45117</c:v>
                </c:pt>
                <c:pt idx="448">
                  <c:v>45114</c:v>
                </c:pt>
                <c:pt idx="449">
                  <c:v>45113</c:v>
                </c:pt>
                <c:pt idx="450">
                  <c:v>45112</c:v>
                </c:pt>
                <c:pt idx="451">
                  <c:v>45110</c:v>
                </c:pt>
                <c:pt idx="452">
                  <c:v>45107</c:v>
                </c:pt>
                <c:pt idx="453">
                  <c:v>45106</c:v>
                </c:pt>
                <c:pt idx="454">
                  <c:v>45105</c:v>
                </c:pt>
                <c:pt idx="455">
                  <c:v>45104</c:v>
                </c:pt>
                <c:pt idx="456">
                  <c:v>45103</c:v>
                </c:pt>
                <c:pt idx="457">
                  <c:v>45100</c:v>
                </c:pt>
                <c:pt idx="458">
                  <c:v>45099</c:v>
                </c:pt>
                <c:pt idx="459">
                  <c:v>45098</c:v>
                </c:pt>
                <c:pt idx="460">
                  <c:v>45097</c:v>
                </c:pt>
                <c:pt idx="461">
                  <c:v>45093</c:v>
                </c:pt>
                <c:pt idx="462">
                  <c:v>45092</c:v>
                </c:pt>
                <c:pt idx="463">
                  <c:v>45091</c:v>
                </c:pt>
                <c:pt idx="464">
                  <c:v>45090</c:v>
                </c:pt>
                <c:pt idx="465">
                  <c:v>45089</c:v>
                </c:pt>
                <c:pt idx="466">
                  <c:v>45086</c:v>
                </c:pt>
                <c:pt idx="467">
                  <c:v>45085</c:v>
                </c:pt>
                <c:pt idx="468">
                  <c:v>45084</c:v>
                </c:pt>
                <c:pt idx="469">
                  <c:v>45083</c:v>
                </c:pt>
                <c:pt idx="470">
                  <c:v>45082</c:v>
                </c:pt>
                <c:pt idx="471">
                  <c:v>45079</c:v>
                </c:pt>
                <c:pt idx="472">
                  <c:v>45078</c:v>
                </c:pt>
                <c:pt idx="473">
                  <c:v>45077</c:v>
                </c:pt>
                <c:pt idx="474">
                  <c:v>45076</c:v>
                </c:pt>
                <c:pt idx="475">
                  <c:v>45072</c:v>
                </c:pt>
                <c:pt idx="476">
                  <c:v>45071</c:v>
                </c:pt>
                <c:pt idx="477">
                  <c:v>45070</c:v>
                </c:pt>
                <c:pt idx="478">
                  <c:v>45069</c:v>
                </c:pt>
                <c:pt idx="479">
                  <c:v>45068</c:v>
                </c:pt>
                <c:pt idx="480">
                  <c:v>45065</c:v>
                </c:pt>
                <c:pt idx="481">
                  <c:v>45064</c:v>
                </c:pt>
                <c:pt idx="482">
                  <c:v>45063</c:v>
                </c:pt>
                <c:pt idx="483">
                  <c:v>45062</c:v>
                </c:pt>
                <c:pt idx="484">
                  <c:v>45061</c:v>
                </c:pt>
                <c:pt idx="485">
                  <c:v>45058</c:v>
                </c:pt>
                <c:pt idx="486">
                  <c:v>45057</c:v>
                </c:pt>
                <c:pt idx="487">
                  <c:v>45056</c:v>
                </c:pt>
                <c:pt idx="488">
                  <c:v>45055</c:v>
                </c:pt>
                <c:pt idx="489">
                  <c:v>45054</c:v>
                </c:pt>
                <c:pt idx="490">
                  <c:v>45051</c:v>
                </c:pt>
                <c:pt idx="491">
                  <c:v>45050</c:v>
                </c:pt>
                <c:pt idx="492">
                  <c:v>45049</c:v>
                </c:pt>
                <c:pt idx="493">
                  <c:v>45048</c:v>
                </c:pt>
                <c:pt idx="494">
                  <c:v>45047</c:v>
                </c:pt>
                <c:pt idx="495">
                  <c:v>45044</c:v>
                </c:pt>
                <c:pt idx="496">
                  <c:v>45043</c:v>
                </c:pt>
                <c:pt idx="497">
                  <c:v>45042</c:v>
                </c:pt>
                <c:pt idx="498">
                  <c:v>45041</c:v>
                </c:pt>
                <c:pt idx="499">
                  <c:v>45040</c:v>
                </c:pt>
                <c:pt idx="500">
                  <c:v>45037</c:v>
                </c:pt>
                <c:pt idx="501">
                  <c:v>45036</c:v>
                </c:pt>
                <c:pt idx="502">
                  <c:v>45035</c:v>
                </c:pt>
                <c:pt idx="503">
                  <c:v>45034</c:v>
                </c:pt>
                <c:pt idx="504">
                  <c:v>45033</c:v>
                </c:pt>
                <c:pt idx="505">
                  <c:v>45030</c:v>
                </c:pt>
                <c:pt idx="506">
                  <c:v>45029</c:v>
                </c:pt>
                <c:pt idx="507">
                  <c:v>45028</c:v>
                </c:pt>
                <c:pt idx="508">
                  <c:v>45027</c:v>
                </c:pt>
                <c:pt idx="509">
                  <c:v>45026</c:v>
                </c:pt>
                <c:pt idx="510">
                  <c:v>45022</c:v>
                </c:pt>
                <c:pt idx="511">
                  <c:v>45021</c:v>
                </c:pt>
                <c:pt idx="512">
                  <c:v>45020</c:v>
                </c:pt>
                <c:pt idx="513">
                  <c:v>45019</c:v>
                </c:pt>
                <c:pt idx="514">
                  <c:v>45016</c:v>
                </c:pt>
                <c:pt idx="515">
                  <c:v>45015</c:v>
                </c:pt>
                <c:pt idx="516">
                  <c:v>45014</c:v>
                </c:pt>
                <c:pt idx="517">
                  <c:v>45013</c:v>
                </c:pt>
                <c:pt idx="518">
                  <c:v>45012</c:v>
                </c:pt>
                <c:pt idx="519">
                  <c:v>45009</c:v>
                </c:pt>
                <c:pt idx="520">
                  <c:v>45008</c:v>
                </c:pt>
                <c:pt idx="521">
                  <c:v>45007</c:v>
                </c:pt>
                <c:pt idx="522">
                  <c:v>45006</c:v>
                </c:pt>
                <c:pt idx="523">
                  <c:v>45005</c:v>
                </c:pt>
                <c:pt idx="524">
                  <c:v>45002</c:v>
                </c:pt>
                <c:pt idx="525">
                  <c:v>45001</c:v>
                </c:pt>
                <c:pt idx="526">
                  <c:v>45000</c:v>
                </c:pt>
                <c:pt idx="527">
                  <c:v>44999</c:v>
                </c:pt>
                <c:pt idx="528">
                  <c:v>44998</c:v>
                </c:pt>
                <c:pt idx="529">
                  <c:v>44995</c:v>
                </c:pt>
                <c:pt idx="530">
                  <c:v>44994</c:v>
                </c:pt>
                <c:pt idx="531">
                  <c:v>44993</c:v>
                </c:pt>
                <c:pt idx="532">
                  <c:v>44992</c:v>
                </c:pt>
                <c:pt idx="533">
                  <c:v>44991</c:v>
                </c:pt>
                <c:pt idx="534">
                  <c:v>44988</c:v>
                </c:pt>
                <c:pt idx="535">
                  <c:v>44987</c:v>
                </c:pt>
                <c:pt idx="536">
                  <c:v>44986</c:v>
                </c:pt>
                <c:pt idx="537">
                  <c:v>44985</c:v>
                </c:pt>
                <c:pt idx="538">
                  <c:v>44984</c:v>
                </c:pt>
                <c:pt idx="539">
                  <c:v>44981</c:v>
                </c:pt>
                <c:pt idx="540">
                  <c:v>44980</c:v>
                </c:pt>
                <c:pt idx="541">
                  <c:v>44979</c:v>
                </c:pt>
                <c:pt idx="542">
                  <c:v>44978</c:v>
                </c:pt>
                <c:pt idx="543">
                  <c:v>44974</c:v>
                </c:pt>
                <c:pt idx="544">
                  <c:v>44973</c:v>
                </c:pt>
                <c:pt idx="545">
                  <c:v>44972</c:v>
                </c:pt>
                <c:pt idx="546">
                  <c:v>44971</c:v>
                </c:pt>
                <c:pt idx="547">
                  <c:v>44970</c:v>
                </c:pt>
                <c:pt idx="548">
                  <c:v>44967</c:v>
                </c:pt>
                <c:pt idx="549">
                  <c:v>44966</c:v>
                </c:pt>
                <c:pt idx="550">
                  <c:v>44965</c:v>
                </c:pt>
                <c:pt idx="551">
                  <c:v>44964</c:v>
                </c:pt>
                <c:pt idx="552">
                  <c:v>44963</c:v>
                </c:pt>
                <c:pt idx="553">
                  <c:v>44960</c:v>
                </c:pt>
                <c:pt idx="554">
                  <c:v>44959</c:v>
                </c:pt>
                <c:pt idx="555">
                  <c:v>44958</c:v>
                </c:pt>
                <c:pt idx="556">
                  <c:v>44957</c:v>
                </c:pt>
                <c:pt idx="557">
                  <c:v>44956</c:v>
                </c:pt>
                <c:pt idx="558">
                  <c:v>44953</c:v>
                </c:pt>
                <c:pt idx="559">
                  <c:v>44952</c:v>
                </c:pt>
                <c:pt idx="560">
                  <c:v>44951</c:v>
                </c:pt>
                <c:pt idx="561">
                  <c:v>44950</c:v>
                </c:pt>
                <c:pt idx="562">
                  <c:v>44949</c:v>
                </c:pt>
                <c:pt idx="563">
                  <c:v>44946</c:v>
                </c:pt>
                <c:pt idx="564">
                  <c:v>44945</c:v>
                </c:pt>
                <c:pt idx="565">
                  <c:v>44944</c:v>
                </c:pt>
                <c:pt idx="566">
                  <c:v>44943</c:v>
                </c:pt>
                <c:pt idx="567">
                  <c:v>44939</c:v>
                </c:pt>
                <c:pt idx="568">
                  <c:v>44938</c:v>
                </c:pt>
                <c:pt idx="569">
                  <c:v>44937</c:v>
                </c:pt>
                <c:pt idx="570">
                  <c:v>44936</c:v>
                </c:pt>
                <c:pt idx="571">
                  <c:v>44935</c:v>
                </c:pt>
                <c:pt idx="572">
                  <c:v>44932</c:v>
                </c:pt>
                <c:pt idx="573">
                  <c:v>44931</c:v>
                </c:pt>
                <c:pt idx="574">
                  <c:v>44930</c:v>
                </c:pt>
                <c:pt idx="575">
                  <c:v>44929</c:v>
                </c:pt>
                <c:pt idx="576">
                  <c:v>44925</c:v>
                </c:pt>
                <c:pt idx="577">
                  <c:v>44924</c:v>
                </c:pt>
                <c:pt idx="578">
                  <c:v>44923</c:v>
                </c:pt>
                <c:pt idx="579">
                  <c:v>44922</c:v>
                </c:pt>
                <c:pt idx="580">
                  <c:v>44918</c:v>
                </c:pt>
                <c:pt idx="581">
                  <c:v>44917</c:v>
                </c:pt>
                <c:pt idx="582">
                  <c:v>44916</c:v>
                </c:pt>
                <c:pt idx="583">
                  <c:v>44915</c:v>
                </c:pt>
                <c:pt idx="584">
                  <c:v>44914</c:v>
                </c:pt>
                <c:pt idx="585">
                  <c:v>44911</c:v>
                </c:pt>
                <c:pt idx="586">
                  <c:v>44910</c:v>
                </c:pt>
                <c:pt idx="587">
                  <c:v>44909</c:v>
                </c:pt>
                <c:pt idx="588">
                  <c:v>44908</c:v>
                </c:pt>
                <c:pt idx="589">
                  <c:v>44907</c:v>
                </c:pt>
                <c:pt idx="590">
                  <c:v>44904</c:v>
                </c:pt>
                <c:pt idx="591">
                  <c:v>44903</c:v>
                </c:pt>
                <c:pt idx="592">
                  <c:v>44902</c:v>
                </c:pt>
                <c:pt idx="593">
                  <c:v>44901</c:v>
                </c:pt>
                <c:pt idx="594">
                  <c:v>44900</c:v>
                </c:pt>
                <c:pt idx="595">
                  <c:v>44897</c:v>
                </c:pt>
                <c:pt idx="596">
                  <c:v>44896</c:v>
                </c:pt>
                <c:pt idx="597">
                  <c:v>44895</c:v>
                </c:pt>
                <c:pt idx="598">
                  <c:v>44894</c:v>
                </c:pt>
                <c:pt idx="599">
                  <c:v>44893</c:v>
                </c:pt>
                <c:pt idx="600">
                  <c:v>44890</c:v>
                </c:pt>
                <c:pt idx="601">
                  <c:v>44888</c:v>
                </c:pt>
                <c:pt idx="602">
                  <c:v>44887</c:v>
                </c:pt>
                <c:pt idx="603">
                  <c:v>44886</c:v>
                </c:pt>
                <c:pt idx="604">
                  <c:v>44883</c:v>
                </c:pt>
                <c:pt idx="605">
                  <c:v>44882</c:v>
                </c:pt>
                <c:pt idx="606">
                  <c:v>44881</c:v>
                </c:pt>
                <c:pt idx="607">
                  <c:v>44880</c:v>
                </c:pt>
                <c:pt idx="608">
                  <c:v>44879</c:v>
                </c:pt>
                <c:pt idx="609">
                  <c:v>44876</c:v>
                </c:pt>
                <c:pt idx="610">
                  <c:v>44875</c:v>
                </c:pt>
                <c:pt idx="611">
                  <c:v>44874</c:v>
                </c:pt>
                <c:pt idx="612">
                  <c:v>44873</c:v>
                </c:pt>
                <c:pt idx="613">
                  <c:v>44872</c:v>
                </c:pt>
                <c:pt idx="614">
                  <c:v>44869</c:v>
                </c:pt>
                <c:pt idx="615">
                  <c:v>44868</c:v>
                </c:pt>
                <c:pt idx="616">
                  <c:v>44867</c:v>
                </c:pt>
                <c:pt idx="617">
                  <c:v>44866</c:v>
                </c:pt>
                <c:pt idx="618">
                  <c:v>44865</c:v>
                </c:pt>
                <c:pt idx="619">
                  <c:v>44862</c:v>
                </c:pt>
                <c:pt idx="620">
                  <c:v>44861</c:v>
                </c:pt>
                <c:pt idx="621">
                  <c:v>44860</c:v>
                </c:pt>
                <c:pt idx="622">
                  <c:v>44859</c:v>
                </c:pt>
                <c:pt idx="623">
                  <c:v>44858</c:v>
                </c:pt>
                <c:pt idx="624">
                  <c:v>44855</c:v>
                </c:pt>
                <c:pt idx="625">
                  <c:v>44854</c:v>
                </c:pt>
                <c:pt idx="626">
                  <c:v>44853</c:v>
                </c:pt>
                <c:pt idx="627">
                  <c:v>44852</c:v>
                </c:pt>
                <c:pt idx="628">
                  <c:v>44851</c:v>
                </c:pt>
                <c:pt idx="629">
                  <c:v>44848</c:v>
                </c:pt>
                <c:pt idx="630">
                  <c:v>44847</c:v>
                </c:pt>
                <c:pt idx="631">
                  <c:v>44846</c:v>
                </c:pt>
                <c:pt idx="632">
                  <c:v>44845</c:v>
                </c:pt>
                <c:pt idx="633">
                  <c:v>44844</c:v>
                </c:pt>
                <c:pt idx="634">
                  <c:v>44841</c:v>
                </c:pt>
                <c:pt idx="635">
                  <c:v>44840</c:v>
                </c:pt>
                <c:pt idx="636">
                  <c:v>44839</c:v>
                </c:pt>
                <c:pt idx="637">
                  <c:v>44838</c:v>
                </c:pt>
                <c:pt idx="638">
                  <c:v>44837</c:v>
                </c:pt>
                <c:pt idx="639">
                  <c:v>44834</c:v>
                </c:pt>
                <c:pt idx="640">
                  <c:v>44833</c:v>
                </c:pt>
                <c:pt idx="641">
                  <c:v>44832</c:v>
                </c:pt>
                <c:pt idx="642">
                  <c:v>44831</c:v>
                </c:pt>
                <c:pt idx="643">
                  <c:v>44830</c:v>
                </c:pt>
                <c:pt idx="644">
                  <c:v>44827</c:v>
                </c:pt>
                <c:pt idx="645">
                  <c:v>44826</c:v>
                </c:pt>
                <c:pt idx="646">
                  <c:v>44825</c:v>
                </c:pt>
                <c:pt idx="647">
                  <c:v>44824</c:v>
                </c:pt>
                <c:pt idx="648">
                  <c:v>44823</c:v>
                </c:pt>
                <c:pt idx="649">
                  <c:v>44820</c:v>
                </c:pt>
                <c:pt idx="650">
                  <c:v>44819</c:v>
                </c:pt>
                <c:pt idx="651">
                  <c:v>44818</c:v>
                </c:pt>
                <c:pt idx="652">
                  <c:v>44817</c:v>
                </c:pt>
                <c:pt idx="653">
                  <c:v>44816</c:v>
                </c:pt>
                <c:pt idx="654">
                  <c:v>44813</c:v>
                </c:pt>
                <c:pt idx="655">
                  <c:v>44812</c:v>
                </c:pt>
                <c:pt idx="656">
                  <c:v>44811</c:v>
                </c:pt>
                <c:pt idx="657">
                  <c:v>44810</c:v>
                </c:pt>
                <c:pt idx="658">
                  <c:v>44806</c:v>
                </c:pt>
                <c:pt idx="659">
                  <c:v>44805</c:v>
                </c:pt>
                <c:pt idx="660">
                  <c:v>44804</c:v>
                </c:pt>
                <c:pt idx="661">
                  <c:v>44803</c:v>
                </c:pt>
                <c:pt idx="662">
                  <c:v>44802</c:v>
                </c:pt>
                <c:pt idx="663">
                  <c:v>44799</c:v>
                </c:pt>
                <c:pt idx="664">
                  <c:v>44798</c:v>
                </c:pt>
                <c:pt idx="665">
                  <c:v>44797</c:v>
                </c:pt>
                <c:pt idx="666">
                  <c:v>44796</c:v>
                </c:pt>
                <c:pt idx="667">
                  <c:v>44795</c:v>
                </c:pt>
                <c:pt idx="668">
                  <c:v>44792</c:v>
                </c:pt>
                <c:pt idx="669">
                  <c:v>44791</c:v>
                </c:pt>
                <c:pt idx="670">
                  <c:v>44790</c:v>
                </c:pt>
                <c:pt idx="671">
                  <c:v>44789</c:v>
                </c:pt>
                <c:pt idx="672">
                  <c:v>44788</c:v>
                </c:pt>
                <c:pt idx="673">
                  <c:v>44785</c:v>
                </c:pt>
                <c:pt idx="674">
                  <c:v>44784</c:v>
                </c:pt>
                <c:pt idx="675">
                  <c:v>44783</c:v>
                </c:pt>
                <c:pt idx="676">
                  <c:v>44782</c:v>
                </c:pt>
                <c:pt idx="677">
                  <c:v>44781</c:v>
                </c:pt>
                <c:pt idx="678">
                  <c:v>44778</c:v>
                </c:pt>
                <c:pt idx="679">
                  <c:v>44777</c:v>
                </c:pt>
                <c:pt idx="680">
                  <c:v>44776</c:v>
                </c:pt>
                <c:pt idx="681">
                  <c:v>44775</c:v>
                </c:pt>
                <c:pt idx="682">
                  <c:v>44774</c:v>
                </c:pt>
                <c:pt idx="683">
                  <c:v>44771</c:v>
                </c:pt>
                <c:pt idx="684">
                  <c:v>44770</c:v>
                </c:pt>
                <c:pt idx="685">
                  <c:v>44769</c:v>
                </c:pt>
                <c:pt idx="686">
                  <c:v>44768</c:v>
                </c:pt>
                <c:pt idx="687">
                  <c:v>44767</c:v>
                </c:pt>
                <c:pt idx="688">
                  <c:v>44764</c:v>
                </c:pt>
                <c:pt idx="689">
                  <c:v>44763</c:v>
                </c:pt>
                <c:pt idx="690">
                  <c:v>44762</c:v>
                </c:pt>
                <c:pt idx="691">
                  <c:v>44761</c:v>
                </c:pt>
                <c:pt idx="692">
                  <c:v>44760</c:v>
                </c:pt>
                <c:pt idx="693">
                  <c:v>44757</c:v>
                </c:pt>
                <c:pt idx="694">
                  <c:v>44756</c:v>
                </c:pt>
                <c:pt idx="695">
                  <c:v>44755</c:v>
                </c:pt>
                <c:pt idx="696">
                  <c:v>44754</c:v>
                </c:pt>
                <c:pt idx="697">
                  <c:v>44753</c:v>
                </c:pt>
                <c:pt idx="698">
                  <c:v>44750</c:v>
                </c:pt>
                <c:pt idx="699">
                  <c:v>44749</c:v>
                </c:pt>
                <c:pt idx="700">
                  <c:v>44748</c:v>
                </c:pt>
                <c:pt idx="701">
                  <c:v>44747</c:v>
                </c:pt>
                <c:pt idx="702">
                  <c:v>44743</c:v>
                </c:pt>
                <c:pt idx="703">
                  <c:v>44742</c:v>
                </c:pt>
                <c:pt idx="704">
                  <c:v>44741</c:v>
                </c:pt>
                <c:pt idx="705">
                  <c:v>44740</c:v>
                </c:pt>
                <c:pt idx="706">
                  <c:v>44739</c:v>
                </c:pt>
                <c:pt idx="707">
                  <c:v>44736</c:v>
                </c:pt>
                <c:pt idx="708">
                  <c:v>44735</c:v>
                </c:pt>
                <c:pt idx="709">
                  <c:v>44734</c:v>
                </c:pt>
                <c:pt idx="710">
                  <c:v>44733</c:v>
                </c:pt>
                <c:pt idx="711">
                  <c:v>44729</c:v>
                </c:pt>
                <c:pt idx="712">
                  <c:v>44728</c:v>
                </c:pt>
                <c:pt idx="713">
                  <c:v>44727</c:v>
                </c:pt>
                <c:pt idx="714">
                  <c:v>44726</c:v>
                </c:pt>
                <c:pt idx="715">
                  <c:v>44725</c:v>
                </c:pt>
                <c:pt idx="716">
                  <c:v>44722</c:v>
                </c:pt>
                <c:pt idx="717">
                  <c:v>44721</c:v>
                </c:pt>
                <c:pt idx="718">
                  <c:v>44720</c:v>
                </c:pt>
                <c:pt idx="719">
                  <c:v>44719</c:v>
                </c:pt>
                <c:pt idx="720">
                  <c:v>44718</c:v>
                </c:pt>
                <c:pt idx="721">
                  <c:v>44715</c:v>
                </c:pt>
                <c:pt idx="722">
                  <c:v>44714</c:v>
                </c:pt>
                <c:pt idx="723">
                  <c:v>44713</c:v>
                </c:pt>
                <c:pt idx="724">
                  <c:v>44712</c:v>
                </c:pt>
                <c:pt idx="725">
                  <c:v>44708</c:v>
                </c:pt>
                <c:pt idx="726">
                  <c:v>44707</c:v>
                </c:pt>
                <c:pt idx="727">
                  <c:v>44706</c:v>
                </c:pt>
                <c:pt idx="728">
                  <c:v>44705</c:v>
                </c:pt>
                <c:pt idx="729">
                  <c:v>44704</c:v>
                </c:pt>
                <c:pt idx="730">
                  <c:v>44701</c:v>
                </c:pt>
                <c:pt idx="731">
                  <c:v>44700</c:v>
                </c:pt>
                <c:pt idx="732">
                  <c:v>44699</c:v>
                </c:pt>
                <c:pt idx="733">
                  <c:v>44698</c:v>
                </c:pt>
                <c:pt idx="734">
                  <c:v>44697</c:v>
                </c:pt>
                <c:pt idx="735">
                  <c:v>44694</c:v>
                </c:pt>
                <c:pt idx="736">
                  <c:v>44693</c:v>
                </c:pt>
                <c:pt idx="737">
                  <c:v>44692</c:v>
                </c:pt>
                <c:pt idx="738">
                  <c:v>44691</c:v>
                </c:pt>
                <c:pt idx="739">
                  <c:v>44690</c:v>
                </c:pt>
                <c:pt idx="740">
                  <c:v>44687</c:v>
                </c:pt>
                <c:pt idx="741">
                  <c:v>44686</c:v>
                </c:pt>
                <c:pt idx="742">
                  <c:v>44685</c:v>
                </c:pt>
                <c:pt idx="743">
                  <c:v>44684</c:v>
                </c:pt>
                <c:pt idx="744">
                  <c:v>44683</c:v>
                </c:pt>
                <c:pt idx="745">
                  <c:v>44680</c:v>
                </c:pt>
                <c:pt idx="746">
                  <c:v>44679</c:v>
                </c:pt>
                <c:pt idx="747">
                  <c:v>44678</c:v>
                </c:pt>
                <c:pt idx="748">
                  <c:v>44677</c:v>
                </c:pt>
                <c:pt idx="749">
                  <c:v>44676</c:v>
                </c:pt>
                <c:pt idx="750">
                  <c:v>44673</c:v>
                </c:pt>
                <c:pt idx="751">
                  <c:v>44672</c:v>
                </c:pt>
                <c:pt idx="752">
                  <c:v>44671</c:v>
                </c:pt>
                <c:pt idx="753">
                  <c:v>44670</c:v>
                </c:pt>
                <c:pt idx="754">
                  <c:v>44669</c:v>
                </c:pt>
                <c:pt idx="755">
                  <c:v>44665</c:v>
                </c:pt>
                <c:pt idx="756">
                  <c:v>44664</c:v>
                </c:pt>
                <c:pt idx="757">
                  <c:v>44663</c:v>
                </c:pt>
                <c:pt idx="758">
                  <c:v>44662</c:v>
                </c:pt>
                <c:pt idx="759">
                  <c:v>44659</c:v>
                </c:pt>
                <c:pt idx="760">
                  <c:v>44658</c:v>
                </c:pt>
                <c:pt idx="761">
                  <c:v>44657</c:v>
                </c:pt>
                <c:pt idx="762">
                  <c:v>44656</c:v>
                </c:pt>
                <c:pt idx="763">
                  <c:v>44655</c:v>
                </c:pt>
                <c:pt idx="764">
                  <c:v>44652</c:v>
                </c:pt>
                <c:pt idx="765">
                  <c:v>44651</c:v>
                </c:pt>
                <c:pt idx="766">
                  <c:v>44650</c:v>
                </c:pt>
              </c:numCache>
            </c:numRef>
          </c:cat>
          <c:val>
            <c:numRef>
              <c:f>STOCK!$F$5:$F$771</c:f>
              <c:numCache>
                <c:formatCode>General</c:formatCode>
                <c:ptCount val="767"/>
                <c:pt idx="0">
                  <c:v>7.2363299999999997</c:v>
                </c:pt>
                <c:pt idx="1">
                  <c:v>10.178710000000001</c:v>
                </c:pt>
                <c:pt idx="2">
                  <c:v>9.7113230000000001</c:v>
                </c:pt>
                <c:pt idx="3">
                  <c:v>9.7352019999999992</c:v>
                </c:pt>
                <c:pt idx="4">
                  <c:v>19.201271999999999</c:v>
                </c:pt>
                <c:pt idx="5">
                  <c:v>15.810568999999999</c:v>
                </c:pt>
                <c:pt idx="6">
                  <c:v>18.742101999999999</c:v>
                </c:pt>
                <c:pt idx="7">
                  <c:v>31.936060000000001</c:v>
                </c:pt>
                <c:pt idx="8">
                  <c:v>26.233132000000001</c:v>
                </c:pt>
                <c:pt idx="9">
                  <c:v>29.250668000000001</c:v>
                </c:pt>
                <c:pt idx="10">
                  <c:v>26.829546000000001</c:v>
                </c:pt>
                <c:pt idx="11">
                  <c:v>19.912752000000001</c:v>
                </c:pt>
                <c:pt idx="12">
                  <c:v>25.696283999999999</c:v>
                </c:pt>
                <c:pt idx="13">
                  <c:v>22.958092000000001</c:v>
                </c:pt>
                <c:pt idx="14">
                  <c:v>15.046773</c:v>
                </c:pt>
                <c:pt idx="15">
                  <c:v>15.453545</c:v>
                </c:pt>
                <c:pt idx="16">
                  <c:v>14.118999000000001</c:v>
                </c:pt>
                <c:pt idx="17">
                  <c:v>30.122316000000001</c:v>
                </c:pt>
                <c:pt idx="18">
                  <c:v>17.186872000000001</c:v>
                </c:pt>
                <c:pt idx="19">
                  <c:v>34.724184000000001</c:v>
                </c:pt>
                <c:pt idx="20">
                  <c:v>21.965920000000001</c:v>
                </c:pt>
                <c:pt idx="21">
                  <c:v>29.478496</c:v>
                </c:pt>
                <c:pt idx="22">
                  <c:v>16.600505999999999</c:v>
                </c:pt>
                <c:pt idx="23">
                  <c:v>20.876283999999998</c:v>
                </c:pt>
                <c:pt idx="24">
                  <c:v>30.552897999999999</c:v>
                </c:pt>
                <c:pt idx="25">
                  <c:v>37.795872000000003</c:v>
                </c:pt>
                <c:pt idx="26">
                  <c:v>32.423237999999998</c:v>
                </c:pt>
                <c:pt idx="27">
                  <c:v>27.255065999999999</c:v>
                </c:pt>
                <c:pt idx="28">
                  <c:v>17.836172000000001</c:v>
                </c:pt>
                <c:pt idx="29">
                  <c:v>15.686762</c:v>
                </c:pt>
                <c:pt idx="30">
                  <c:v>16.189219999999999</c:v>
                </c:pt>
                <c:pt idx="31">
                  <c:v>16.639264000000001</c:v>
                </c:pt>
                <c:pt idx="32">
                  <c:v>16.067827000000001</c:v>
                </c:pt>
                <c:pt idx="33">
                  <c:v>21.074786</c:v>
                </c:pt>
                <c:pt idx="34">
                  <c:v>18.253664000000001</c:v>
                </c:pt>
                <c:pt idx="35">
                  <c:v>21.996055999999999</c:v>
                </c:pt>
                <c:pt idx="36">
                  <c:v>34.732796</c:v>
                </c:pt>
                <c:pt idx="37">
                  <c:v>14.152718999999999</c:v>
                </c:pt>
                <c:pt idx="38">
                  <c:v>13.278430999999999</c:v>
                </c:pt>
                <c:pt idx="39">
                  <c:v>12.451786999999999</c:v>
                </c:pt>
                <c:pt idx="40">
                  <c:v>15.788843</c:v>
                </c:pt>
                <c:pt idx="41">
                  <c:v>13.05874</c:v>
                </c:pt>
                <c:pt idx="42">
                  <c:v>20.531237999999998</c:v>
                </c:pt>
                <c:pt idx="43">
                  <c:v>20.116088000000001</c:v>
                </c:pt>
                <c:pt idx="44">
                  <c:v>8.1781799999999993</c:v>
                </c:pt>
                <c:pt idx="45">
                  <c:v>14.220234</c:v>
                </c:pt>
                <c:pt idx="46">
                  <c:v>11.894501999999999</c:v>
                </c:pt>
                <c:pt idx="47">
                  <c:v>15.568751000000001</c:v>
                </c:pt>
                <c:pt idx="48">
                  <c:v>13.666919</c:v>
                </c:pt>
                <c:pt idx="49">
                  <c:v>15.951675</c:v>
                </c:pt>
                <c:pt idx="50">
                  <c:v>10.405922</c:v>
                </c:pt>
                <c:pt idx="51">
                  <c:v>13.473038000000001</c:v>
                </c:pt>
                <c:pt idx="52">
                  <c:v>16.434497</c:v>
                </c:pt>
                <c:pt idx="53">
                  <c:v>16.578793000000001</c:v>
                </c:pt>
                <c:pt idx="54">
                  <c:v>20.079011999999999</c:v>
                </c:pt>
                <c:pt idx="55">
                  <c:v>12.505504</c:v>
                </c:pt>
                <c:pt idx="56">
                  <c:v>13.098561</c:v>
                </c:pt>
                <c:pt idx="57">
                  <c:v>15.725215</c:v>
                </c:pt>
                <c:pt idx="58">
                  <c:v>21.461096000000001</c:v>
                </c:pt>
                <c:pt idx="59">
                  <c:v>19.665918000000001</c:v>
                </c:pt>
                <c:pt idx="60">
                  <c:v>17.140798</c:v>
                </c:pt>
                <c:pt idx="61">
                  <c:v>26.440168</c:v>
                </c:pt>
                <c:pt idx="62">
                  <c:v>35.231943999999999</c:v>
                </c:pt>
                <c:pt idx="63">
                  <c:v>30.697676000000001</c:v>
                </c:pt>
                <c:pt idx="64">
                  <c:v>46.324604000000001</c:v>
                </c:pt>
                <c:pt idx="65">
                  <c:v>74.872063999999995</c:v>
                </c:pt>
                <c:pt idx="66">
                  <c:v>43.673200000000001</c:v>
                </c:pt>
                <c:pt idx="67">
                  <c:v>52.751688000000001</c:v>
                </c:pt>
                <c:pt idx="68">
                  <c:v>69.769767999999999</c:v>
                </c:pt>
                <c:pt idx="69">
                  <c:v>128.34376</c:v>
                </c:pt>
                <c:pt idx="70">
                  <c:v>27.090332</c:v>
                </c:pt>
                <c:pt idx="71">
                  <c:v>23.299872000000001</c:v>
                </c:pt>
                <c:pt idx="72">
                  <c:v>28.235531999999999</c:v>
                </c:pt>
                <c:pt idx="73">
                  <c:v>22.986248</c:v>
                </c:pt>
                <c:pt idx="74">
                  <c:v>15.31142</c:v>
                </c:pt>
                <c:pt idx="75">
                  <c:v>17.610859999999999</c:v>
                </c:pt>
                <c:pt idx="76">
                  <c:v>22.491379999999999</c:v>
                </c:pt>
                <c:pt idx="77">
                  <c:v>24.821272</c:v>
                </c:pt>
                <c:pt idx="78">
                  <c:v>18.418372000000002</c:v>
                </c:pt>
                <c:pt idx="79">
                  <c:v>27.057203999999999</c:v>
                </c:pt>
                <c:pt idx="80">
                  <c:v>47.711376000000001</c:v>
                </c:pt>
                <c:pt idx="81">
                  <c:v>27.705824</c:v>
                </c:pt>
                <c:pt idx="82">
                  <c:v>37.488619999999997</c:v>
                </c:pt>
                <c:pt idx="83">
                  <c:v>31.560487999999999</c:v>
                </c:pt>
                <c:pt idx="84">
                  <c:v>42.539375999999997</c:v>
                </c:pt>
                <c:pt idx="85">
                  <c:v>24.677316000000001</c:v>
                </c:pt>
                <c:pt idx="86">
                  <c:v>21.879548</c:v>
                </c:pt>
                <c:pt idx="87">
                  <c:v>36.443855999999997</c:v>
                </c:pt>
                <c:pt idx="88">
                  <c:v>25.017824000000001</c:v>
                </c:pt>
                <c:pt idx="89">
                  <c:v>22.414871999999999</c:v>
                </c:pt>
                <c:pt idx="90">
                  <c:v>19.783604</c:v>
                </c:pt>
                <c:pt idx="91">
                  <c:v>28.953963999999999</c:v>
                </c:pt>
                <c:pt idx="92">
                  <c:v>17.219605999999999</c:v>
                </c:pt>
                <c:pt idx="93">
                  <c:v>20.329143999999999</c:v>
                </c:pt>
                <c:pt idx="94">
                  <c:v>28.440401999999999</c:v>
                </c:pt>
                <c:pt idx="95">
                  <c:v>23.227409999999999</c:v>
                </c:pt>
                <c:pt idx="96">
                  <c:v>24.277856</c:v>
                </c:pt>
                <c:pt idx="97">
                  <c:v>22.521844000000002</c:v>
                </c:pt>
                <c:pt idx="98">
                  <c:v>31.379342000000001</c:v>
                </c:pt>
                <c:pt idx="99">
                  <c:v>28.146348</c:v>
                </c:pt>
                <c:pt idx="100">
                  <c:v>43.881811999999996</c:v>
                </c:pt>
                <c:pt idx="101">
                  <c:v>28.874806</c:v>
                </c:pt>
                <c:pt idx="102">
                  <c:v>30.086632000000002</c:v>
                </c:pt>
                <c:pt idx="103">
                  <c:v>54.255336</c:v>
                </c:pt>
                <c:pt idx="104">
                  <c:v>37.575991999999999</c:v>
                </c:pt>
                <c:pt idx="105">
                  <c:v>35.122523999999999</c:v>
                </c:pt>
                <c:pt idx="106">
                  <c:v>41.306136000000002</c:v>
                </c:pt>
                <c:pt idx="107">
                  <c:v>28.019188</c:v>
                </c:pt>
                <c:pt idx="108">
                  <c:v>35.693711999999998</c:v>
                </c:pt>
                <c:pt idx="109">
                  <c:v>64.845208</c:v>
                </c:pt>
                <c:pt idx="110">
                  <c:v>70.733416000000005</c:v>
                </c:pt>
                <c:pt idx="111">
                  <c:v>20.834503999999999</c:v>
                </c:pt>
                <c:pt idx="112">
                  <c:v>12.942821</c:v>
                </c:pt>
                <c:pt idx="113">
                  <c:v>12.424224000000001</c:v>
                </c:pt>
                <c:pt idx="114">
                  <c:v>15.846997</c:v>
                </c:pt>
                <c:pt idx="115">
                  <c:v>22.506862000000002</c:v>
                </c:pt>
                <c:pt idx="116">
                  <c:v>23.685237999999998</c:v>
                </c:pt>
                <c:pt idx="117">
                  <c:v>32.312939999999998</c:v>
                </c:pt>
                <c:pt idx="118">
                  <c:v>31.529527999999999</c:v>
                </c:pt>
                <c:pt idx="119">
                  <c:v>25.259612000000001</c:v>
                </c:pt>
                <c:pt idx="120">
                  <c:v>22.086507999999998</c:v>
                </c:pt>
                <c:pt idx="121">
                  <c:v>29.995850000000001</c:v>
                </c:pt>
                <c:pt idx="122">
                  <c:v>21.299213999999999</c:v>
                </c:pt>
                <c:pt idx="123">
                  <c:v>29.875008000000001</c:v>
                </c:pt>
                <c:pt idx="124">
                  <c:v>21.236764000000001</c:v>
                </c:pt>
                <c:pt idx="125">
                  <c:v>13.790383</c:v>
                </c:pt>
                <c:pt idx="126">
                  <c:v>17.236181999999999</c:v>
                </c:pt>
                <c:pt idx="127">
                  <c:v>12.716384</c:v>
                </c:pt>
                <c:pt idx="128">
                  <c:v>10.807585</c:v>
                </c:pt>
                <c:pt idx="129">
                  <c:v>11.705857</c:v>
                </c:pt>
                <c:pt idx="130">
                  <c:v>9.5332670000000004</c:v>
                </c:pt>
                <c:pt idx="131">
                  <c:v>6.7818250000000004</c:v>
                </c:pt>
                <c:pt idx="132">
                  <c:v>8.9949539999999999</c:v>
                </c:pt>
                <c:pt idx="133">
                  <c:v>8.7570250000000005</c:v>
                </c:pt>
                <c:pt idx="134">
                  <c:v>7.5022200000000003</c:v>
                </c:pt>
                <c:pt idx="135">
                  <c:v>8.8201040000000006</c:v>
                </c:pt>
                <c:pt idx="136">
                  <c:v>13.016515999999999</c:v>
                </c:pt>
                <c:pt idx="137">
                  <c:v>12.275544</c:v>
                </c:pt>
                <c:pt idx="138">
                  <c:v>20.012668000000001</c:v>
                </c:pt>
                <c:pt idx="139">
                  <c:v>45.245544000000002</c:v>
                </c:pt>
                <c:pt idx="140">
                  <c:v>4.4727240000000004</c:v>
                </c:pt>
                <c:pt idx="141">
                  <c:v>5.4020020000000004</c:v>
                </c:pt>
                <c:pt idx="142">
                  <c:v>4.2227870000000003</c:v>
                </c:pt>
                <c:pt idx="143">
                  <c:v>5.4324490000000001</c:v>
                </c:pt>
                <c:pt idx="144">
                  <c:v>6.9147829999999999</c:v>
                </c:pt>
                <c:pt idx="145">
                  <c:v>4.5091039999999998</c:v>
                </c:pt>
                <c:pt idx="146">
                  <c:v>5.1148889999999998</c:v>
                </c:pt>
                <c:pt idx="147">
                  <c:v>4.8704989999999997</c:v>
                </c:pt>
                <c:pt idx="148">
                  <c:v>4.0298129999999999</c:v>
                </c:pt>
                <c:pt idx="149">
                  <c:v>4.4021800000000004</c:v>
                </c:pt>
                <c:pt idx="150">
                  <c:v>4.5537799999999997</c:v>
                </c:pt>
                <c:pt idx="151">
                  <c:v>4.2761760000000004</c:v>
                </c:pt>
                <c:pt idx="152">
                  <c:v>3.811277</c:v>
                </c:pt>
                <c:pt idx="153">
                  <c:v>4.0465999999999998</c:v>
                </c:pt>
                <c:pt idx="154">
                  <c:v>3.7899620000000001</c:v>
                </c:pt>
                <c:pt idx="155">
                  <c:v>2.0622780000000001</c:v>
                </c:pt>
                <c:pt idx="156">
                  <c:v>3.3245529999999999</c:v>
                </c:pt>
                <c:pt idx="157">
                  <c:v>4.4838149999999999</c:v>
                </c:pt>
                <c:pt idx="158">
                  <c:v>2.8921830000000002</c:v>
                </c:pt>
                <c:pt idx="159">
                  <c:v>3.1146419999999999</c:v>
                </c:pt>
                <c:pt idx="160">
                  <c:v>3.7139090000000001</c:v>
                </c:pt>
                <c:pt idx="161">
                  <c:v>3.7290730000000001</c:v>
                </c:pt>
                <c:pt idx="162">
                  <c:v>3.6045340000000001</c:v>
                </c:pt>
                <c:pt idx="163">
                  <c:v>4.2399440000000004</c:v>
                </c:pt>
                <c:pt idx="164">
                  <c:v>3.9468230000000002</c:v>
                </c:pt>
                <c:pt idx="165">
                  <c:v>4.2473359999999998</c:v>
                </c:pt>
                <c:pt idx="166">
                  <c:v>2.5365150000000001</c:v>
                </c:pt>
                <c:pt idx="167">
                  <c:v>2.6081080000000001</c:v>
                </c:pt>
                <c:pt idx="168">
                  <c:v>2.604206</c:v>
                </c:pt>
                <c:pt idx="169">
                  <c:v>3.5795539999999999</c:v>
                </c:pt>
                <c:pt idx="170">
                  <c:v>3.273793</c:v>
                </c:pt>
                <c:pt idx="171">
                  <c:v>4.2664280000000003</c:v>
                </c:pt>
                <c:pt idx="172">
                  <c:v>4.9902049999999996</c:v>
                </c:pt>
                <c:pt idx="173">
                  <c:v>4.2080929999999999</c:v>
                </c:pt>
                <c:pt idx="174">
                  <c:v>6.6035839999999997</c:v>
                </c:pt>
                <c:pt idx="175">
                  <c:v>6.2790929999999996</c:v>
                </c:pt>
                <c:pt idx="176">
                  <c:v>6.7420609999999996</c:v>
                </c:pt>
                <c:pt idx="177">
                  <c:v>7.1893989999999999</c:v>
                </c:pt>
                <c:pt idx="178">
                  <c:v>5.1374420000000001</c:v>
                </c:pt>
                <c:pt idx="179">
                  <c:v>4.86714</c:v>
                </c:pt>
                <c:pt idx="180">
                  <c:v>4.2213510000000003</c:v>
                </c:pt>
                <c:pt idx="181">
                  <c:v>3.0409489999999999</c:v>
                </c:pt>
                <c:pt idx="182">
                  <c:v>3.4203079999999999</c:v>
                </c:pt>
                <c:pt idx="183">
                  <c:v>4.3077680000000003</c:v>
                </c:pt>
                <c:pt idx="184">
                  <c:v>4.3389340000000001</c:v>
                </c:pt>
                <c:pt idx="185">
                  <c:v>4.827458</c:v>
                </c:pt>
                <c:pt idx="186">
                  <c:v>3.9432239999999998</c:v>
                </c:pt>
                <c:pt idx="187">
                  <c:v>4.4712990000000001</c:v>
                </c:pt>
                <c:pt idx="188">
                  <c:v>6.3237579999999998</c:v>
                </c:pt>
                <c:pt idx="189">
                  <c:v>4.660946</c:v>
                </c:pt>
                <c:pt idx="190">
                  <c:v>4.7744450000000001</c:v>
                </c:pt>
                <c:pt idx="191">
                  <c:v>5.3596969999999997</c:v>
                </c:pt>
                <c:pt idx="192">
                  <c:v>6.2982800000000001</c:v>
                </c:pt>
                <c:pt idx="193">
                  <c:v>5.8009240000000002</c:v>
                </c:pt>
                <c:pt idx="194">
                  <c:v>9.8383679999999991</c:v>
                </c:pt>
                <c:pt idx="195">
                  <c:v>6.3537850000000002</c:v>
                </c:pt>
                <c:pt idx="196">
                  <c:v>4.1515639999999996</c:v>
                </c:pt>
                <c:pt idx="197">
                  <c:v>5.0265319999999996</c:v>
                </c:pt>
                <c:pt idx="198">
                  <c:v>4.3679930000000002</c:v>
                </c:pt>
                <c:pt idx="199">
                  <c:v>2.2061060000000001</c:v>
                </c:pt>
                <c:pt idx="200">
                  <c:v>3.4666779999999999</c:v>
                </c:pt>
                <c:pt idx="201">
                  <c:v>3.9060820000000001</c:v>
                </c:pt>
                <c:pt idx="202">
                  <c:v>13.44364</c:v>
                </c:pt>
                <c:pt idx="203">
                  <c:v>4.7723120000000003</c:v>
                </c:pt>
                <c:pt idx="204">
                  <c:v>4.5373739999999998</c:v>
                </c:pt>
                <c:pt idx="205">
                  <c:v>3.5816119999999998</c:v>
                </c:pt>
                <c:pt idx="206">
                  <c:v>4.5985469999999999</c:v>
                </c:pt>
                <c:pt idx="207">
                  <c:v>8.5444309999999994</c:v>
                </c:pt>
                <c:pt idx="208">
                  <c:v>7.6479929999999996</c:v>
                </c:pt>
                <c:pt idx="209">
                  <c:v>4.7675580000000002</c:v>
                </c:pt>
                <c:pt idx="210">
                  <c:v>5.4428260000000002</c:v>
                </c:pt>
                <c:pt idx="211">
                  <c:v>2.9941230000000001</c:v>
                </c:pt>
                <c:pt idx="212">
                  <c:v>4.324471</c:v>
                </c:pt>
                <c:pt idx="213">
                  <c:v>4.5563010000000004</c:v>
                </c:pt>
                <c:pt idx="214">
                  <c:v>3.125407</c:v>
                </c:pt>
                <c:pt idx="215">
                  <c:v>3.636863</c:v>
                </c:pt>
                <c:pt idx="216">
                  <c:v>3.6492589999999998</c:v>
                </c:pt>
                <c:pt idx="217">
                  <c:v>2.5263599999999999</c:v>
                </c:pt>
                <c:pt idx="218">
                  <c:v>3.083075</c:v>
                </c:pt>
                <c:pt idx="219">
                  <c:v>3.4479829999999998</c:v>
                </c:pt>
                <c:pt idx="220">
                  <c:v>4.4888139999999996</c:v>
                </c:pt>
                <c:pt idx="221">
                  <c:v>3.0529289999999998</c:v>
                </c:pt>
                <c:pt idx="222">
                  <c:v>3.2851509999999999</c:v>
                </c:pt>
                <c:pt idx="223">
                  <c:v>3.1032410000000001</c:v>
                </c:pt>
                <c:pt idx="224">
                  <c:v>3.5298600000000002</c:v>
                </c:pt>
                <c:pt idx="225">
                  <c:v>2.5924510000000001</c:v>
                </c:pt>
                <c:pt idx="226">
                  <c:v>3.948439</c:v>
                </c:pt>
                <c:pt idx="227">
                  <c:v>3.1895989999999999</c:v>
                </c:pt>
                <c:pt idx="228">
                  <c:v>4.7469530000000004</c:v>
                </c:pt>
                <c:pt idx="229">
                  <c:v>3.8948450000000001</c:v>
                </c:pt>
                <c:pt idx="230">
                  <c:v>2.8346930000000001</c:v>
                </c:pt>
                <c:pt idx="231">
                  <c:v>3.1870270000000001</c:v>
                </c:pt>
                <c:pt idx="232">
                  <c:v>4.5886430000000002</c:v>
                </c:pt>
                <c:pt idx="233">
                  <c:v>6.7654059999999996</c:v>
                </c:pt>
                <c:pt idx="234">
                  <c:v>4.9375710000000002</c:v>
                </c:pt>
                <c:pt idx="235">
                  <c:v>3.888579</c:v>
                </c:pt>
                <c:pt idx="236">
                  <c:v>6.3606800000000003</c:v>
                </c:pt>
                <c:pt idx="237">
                  <c:v>4.5314800000000002</c:v>
                </c:pt>
                <c:pt idx="238">
                  <c:v>6.8844110000000001</c:v>
                </c:pt>
                <c:pt idx="239">
                  <c:v>7.9596450000000001</c:v>
                </c:pt>
                <c:pt idx="240">
                  <c:v>3.9242880000000002</c:v>
                </c:pt>
                <c:pt idx="241">
                  <c:v>4.3426960000000001</c:v>
                </c:pt>
                <c:pt idx="242">
                  <c:v>3.707166</c:v>
                </c:pt>
                <c:pt idx="243">
                  <c:v>3.785158</c:v>
                </c:pt>
                <c:pt idx="244">
                  <c:v>5.9078340000000003</c:v>
                </c:pt>
                <c:pt idx="245">
                  <c:v>6.7825340000000001</c:v>
                </c:pt>
                <c:pt idx="246">
                  <c:v>3.4535130000000001</c:v>
                </c:pt>
                <c:pt idx="247">
                  <c:v>5.9872920000000001</c:v>
                </c:pt>
                <c:pt idx="248">
                  <c:v>6.7475560000000003</c:v>
                </c:pt>
                <c:pt idx="249">
                  <c:v>6.1748979999999998</c:v>
                </c:pt>
                <c:pt idx="250">
                  <c:v>4.8777759999999999</c:v>
                </c:pt>
                <c:pt idx="251">
                  <c:v>4.1386630000000002</c:v>
                </c:pt>
                <c:pt idx="252">
                  <c:v>4.0389970000000002</c:v>
                </c:pt>
                <c:pt idx="253">
                  <c:v>5.4151689999999997</c:v>
                </c:pt>
                <c:pt idx="254">
                  <c:v>6.5935839999999999</c:v>
                </c:pt>
                <c:pt idx="255">
                  <c:v>3.625928</c:v>
                </c:pt>
                <c:pt idx="256">
                  <c:v>4.2544899999999997</c:v>
                </c:pt>
                <c:pt idx="257">
                  <c:v>6.7753180000000004</c:v>
                </c:pt>
                <c:pt idx="258">
                  <c:v>5.156771</c:v>
                </c:pt>
                <c:pt idx="259">
                  <c:v>12.103358999999999</c:v>
                </c:pt>
                <c:pt idx="260">
                  <c:v>4.3630820000000003</c:v>
                </c:pt>
                <c:pt idx="261">
                  <c:v>5.1019969999999999</c:v>
                </c:pt>
                <c:pt idx="262">
                  <c:v>4.3641230000000002</c:v>
                </c:pt>
                <c:pt idx="263">
                  <c:v>5.1923149999999998</c:v>
                </c:pt>
                <c:pt idx="264">
                  <c:v>4.4623350000000004</c:v>
                </c:pt>
                <c:pt idx="265">
                  <c:v>5.6965919999999999</c:v>
                </c:pt>
                <c:pt idx="266">
                  <c:v>4.1859109999999999</c:v>
                </c:pt>
                <c:pt idx="267">
                  <c:v>5.8062839999999998</c:v>
                </c:pt>
                <c:pt idx="268">
                  <c:v>3.9697749999999998</c:v>
                </c:pt>
                <c:pt idx="269">
                  <c:v>3.1688079999999998</c:v>
                </c:pt>
                <c:pt idx="270">
                  <c:v>4.8762439999999998</c:v>
                </c:pt>
                <c:pt idx="271">
                  <c:v>5.2109350000000001</c:v>
                </c:pt>
                <c:pt idx="272">
                  <c:v>6.8088699999999998</c:v>
                </c:pt>
                <c:pt idx="273">
                  <c:v>5.4505710000000001</c:v>
                </c:pt>
                <c:pt idx="274">
                  <c:v>6.4429150000000002</c:v>
                </c:pt>
                <c:pt idx="275">
                  <c:v>7.6970910000000003</c:v>
                </c:pt>
                <c:pt idx="276">
                  <c:v>7.5879620000000001</c:v>
                </c:pt>
                <c:pt idx="277">
                  <c:v>8.3303200000000004</c:v>
                </c:pt>
                <c:pt idx="278">
                  <c:v>11.90827</c:v>
                </c:pt>
                <c:pt idx="279">
                  <c:v>17.133607999999999</c:v>
                </c:pt>
                <c:pt idx="280">
                  <c:v>12.969466000000001</c:v>
                </c:pt>
                <c:pt idx="281">
                  <c:v>9.9242690000000007</c:v>
                </c:pt>
                <c:pt idx="282">
                  <c:v>13.959069</c:v>
                </c:pt>
                <c:pt idx="283">
                  <c:v>10.708557000000001</c:v>
                </c:pt>
                <c:pt idx="284">
                  <c:v>10.199115000000001</c:v>
                </c:pt>
                <c:pt idx="285">
                  <c:v>26.317478000000001</c:v>
                </c:pt>
                <c:pt idx="286">
                  <c:v>12.725134000000001</c:v>
                </c:pt>
                <c:pt idx="287">
                  <c:v>7.4469690000000002</c:v>
                </c:pt>
                <c:pt idx="288">
                  <c:v>6.3792499999999999</c:v>
                </c:pt>
                <c:pt idx="289">
                  <c:v>4.6801659999999998</c:v>
                </c:pt>
                <c:pt idx="290">
                  <c:v>5.899635</c:v>
                </c:pt>
                <c:pt idx="291">
                  <c:v>4.1094739999999996</c:v>
                </c:pt>
                <c:pt idx="292">
                  <c:v>5.0797470000000002</c:v>
                </c:pt>
                <c:pt idx="293">
                  <c:v>5.7744660000000003</c:v>
                </c:pt>
                <c:pt idx="294">
                  <c:v>5.1292749999999998</c:v>
                </c:pt>
                <c:pt idx="295">
                  <c:v>5.6044340000000004</c:v>
                </c:pt>
                <c:pt idx="296">
                  <c:v>7.6155179999999998</c:v>
                </c:pt>
                <c:pt idx="297">
                  <c:v>7.744256</c:v>
                </c:pt>
                <c:pt idx="298">
                  <c:v>5.6372559999999998</c:v>
                </c:pt>
                <c:pt idx="299">
                  <c:v>5.6877129999999996</c:v>
                </c:pt>
                <c:pt idx="300">
                  <c:v>4.6087360000000004</c:v>
                </c:pt>
                <c:pt idx="301">
                  <c:v>5.6740969999999997</c:v>
                </c:pt>
                <c:pt idx="302">
                  <c:v>5.6477930000000001</c:v>
                </c:pt>
                <c:pt idx="303">
                  <c:v>5.1397380000000004</c:v>
                </c:pt>
                <c:pt idx="304">
                  <c:v>7.5060339999999997</c:v>
                </c:pt>
                <c:pt idx="305">
                  <c:v>7.5294540000000003</c:v>
                </c:pt>
                <c:pt idx="306">
                  <c:v>5.5637259999999999</c:v>
                </c:pt>
                <c:pt idx="307">
                  <c:v>4.8200830000000003</c:v>
                </c:pt>
                <c:pt idx="308">
                  <c:v>4.7960609999999999</c:v>
                </c:pt>
                <c:pt idx="309">
                  <c:v>7.2545970000000004</c:v>
                </c:pt>
                <c:pt idx="310">
                  <c:v>5.0923670000000003</c:v>
                </c:pt>
                <c:pt idx="311">
                  <c:v>5.2914009999999996</c:v>
                </c:pt>
                <c:pt idx="312">
                  <c:v>7.2549200000000003</c:v>
                </c:pt>
                <c:pt idx="313">
                  <c:v>5.3656959999999998</c:v>
                </c:pt>
                <c:pt idx="314">
                  <c:v>6.3292619999999999</c:v>
                </c:pt>
                <c:pt idx="315">
                  <c:v>4.8663530000000002</c:v>
                </c:pt>
                <c:pt idx="316">
                  <c:v>5.6545030000000001</c:v>
                </c:pt>
                <c:pt idx="317">
                  <c:v>4.4769160000000001</c:v>
                </c:pt>
                <c:pt idx="318">
                  <c:v>7.1312709999999999</c:v>
                </c:pt>
                <c:pt idx="319">
                  <c:v>7.3848310000000001</c:v>
                </c:pt>
                <c:pt idx="320">
                  <c:v>4.920947</c:v>
                </c:pt>
                <c:pt idx="321">
                  <c:v>6.0443170000000004</c:v>
                </c:pt>
                <c:pt idx="322">
                  <c:v>6.1035550000000001</c:v>
                </c:pt>
                <c:pt idx="323">
                  <c:v>7.2644469999999997</c:v>
                </c:pt>
                <c:pt idx="324">
                  <c:v>6.2257230000000003</c:v>
                </c:pt>
                <c:pt idx="325">
                  <c:v>5.9510560000000003</c:v>
                </c:pt>
                <c:pt idx="326">
                  <c:v>8.6053080000000008</c:v>
                </c:pt>
                <c:pt idx="327">
                  <c:v>5.0651099999999998</c:v>
                </c:pt>
                <c:pt idx="328">
                  <c:v>7.4452100000000003</c:v>
                </c:pt>
                <c:pt idx="329">
                  <c:v>8.8668390000000006</c:v>
                </c:pt>
                <c:pt idx="330">
                  <c:v>4.8958849999999998</c:v>
                </c:pt>
                <c:pt idx="331">
                  <c:v>4.937341</c:v>
                </c:pt>
                <c:pt idx="332">
                  <c:v>8.7012140000000002</c:v>
                </c:pt>
                <c:pt idx="333">
                  <c:v>7.3886849999999997</c:v>
                </c:pt>
                <c:pt idx="334">
                  <c:v>6.8094450000000002</c:v>
                </c:pt>
                <c:pt idx="335">
                  <c:v>12.601521</c:v>
                </c:pt>
                <c:pt idx="336">
                  <c:v>15.617184999999999</c:v>
                </c:pt>
                <c:pt idx="337">
                  <c:v>11.648936000000001</c:v>
                </c:pt>
                <c:pt idx="338">
                  <c:v>7.5455069999999997</c:v>
                </c:pt>
                <c:pt idx="339">
                  <c:v>10.633976000000001</c:v>
                </c:pt>
                <c:pt idx="340">
                  <c:v>8.1813880000000001</c:v>
                </c:pt>
                <c:pt idx="341">
                  <c:v>6.0212979999999998</c:v>
                </c:pt>
                <c:pt idx="342">
                  <c:v>8.6864070000000009</c:v>
                </c:pt>
                <c:pt idx="343">
                  <c:v>6.9304940000000004</c:v>
                </c:pt>
                <c:pt idx="344">
                  <c:v>9.8414540000000006</c:v>
                </c:pt>
                <c:pt idx="345">
                  <c:v>9.8406529999999997</c:v>
                </c:pt>
                <c:pt idx="346">
                  <c:v>6.4693610000000001</c:v>
                </c:pt>
                <c:pt idx="347">
                  <c:v>8.8476700000000008</c:v>
                </c:pt>
                <c:pt idx="348">
                  <c:v>6.4306720000000004</c:v>
                </c:pt>
                <c:pt idx="349">
                  <c:v>5.5174989999999999</c:v>
                </c:pt>
                <c:pt idx="350">
                  <c:v>3.057836</c:v>
                </c:pt>
                <c:pt idx="351">
                  <c:v>7.320398</c:v>
                </c:pt>
                <c:pt idx="352">
                  <c:v>5.3872689999999999</c:v>
                </c:pt>
                <c:pt idx="353">
                  <c:v>5.9883129999999998</c:v>
                </c:pt>
                <c:pt idx="354">
                  <c:v>7.1017089999999996</c:v>
                </c:pt>
                <c:pt idx="355">
                  <c:v>7.5678729999999996</c:v>
                </c:pt>
                <c:pt idx="356">
                  <c:v>12.077311</c:v>
                </c:pt>
                <c:pt idx="357">
                  <c:v>10.069520000000001</c:v>
                </c:pt>
                <c:pt idx="358">
                  <c:v>12.006033</c:v>
                </c:pt>
                <c:pt idx="359">
                  <c:v>11.940458</c:v>
                </c:pt>
                <c:pt idx="360">
                  <c:v>16.070335</c:v>
                </c:pt>
                <c:pt idx="361">
                  <c:v>7.4493830000000001</c:v>
                </c:pt>
                <c:pt idx="362">
                  <c:v>7.8732389999999999</c:v>
                </c:pt>
                <c:pt idx="363">
                  <c:v>10.03205</c:v>
                </c:pt>
                <c:pt idx="364">
                  <c:v>9.5905919999999991</c:v>
                </c:pt>
                <c:pt idx="365">
                  <c:v>11.768983</c:v>
                </c:pt>
                <c:pt idx="366">
                  <c:v>9.0314540000000001</c:v>
                </c:pt>
                <c:pt idx="367">
                  <c:v>7.3016870000000003</c:v>
                </c:pt>
                <c:pt idx="368">
                  <c:v>12.284672</c:v>
                </c:pt>
                <c:pt idx="369">
                  <c:v>7.9365230000000002</c:v>
                </c:pt>
                <c:pt idx="370">
                  <c:v>12.436498</c:v>
                </c:pt>
                <c:pt idx="371">
                  <c:v>12.868734</c:v>
                </c:pt>
                <c:pt idx="372">
                  <c:v>18.483495999999999</c:v>
                </c:pt>
                <c:pt idx="373">
                  <c:v>11.506304</c:v>
                </c:pt>
                <c:pt idx="374">
                  <c:v>9.5868649999999995</c:v>
                </c:pt>
                <c:pt idx="375">
                  <c:v>7.66493</c:v>
                </c:pt>
                <c:pt idx="376">
                  <c:v>7.8309150000000001</c:v>
                </c:pt>
                <c:pt idx="377">
                  <c:v>6.8526509999999998</c:v>
                </c:pt>
                <c:pt idx="378">
                  <c:v>6.7254310000000004</c:v>
                </c:pt>
                <c:pt idx="379">
                  <c:v>8.3719210000000004</c:v>
                </c:pt>
                <c:pt idx="380">
                  <c:v>9.7428869999999996</c:v>
                </c:pt>
                <c:pt idx="381">
                  <c:v>9.9866720000000004</c:v>
                </c:pt>
                <c:pt idx="382">
                  <c:v>16.382173999999999</c:v>
                </c:pt>
                <c:pt idx="383">
                  <c:v>8.9158910000000002</c:v>
                </c:pt>
                <c:pt idx="384">
                  <c:v>8.8949649999999991</c:v>
                </c:pt>
                <c:pt idx="385">
                  <c:v>6.183592</c:v>
                </c:pt>
                <c:pt idx="386">
                  <c:v>8.7754799999999999</c:v>
                </c:pt>
                <c:pt idx="387">
                  <c:v>8.4414259999999999</c:v>
                </c:pt>
                <c:pt idx="388">
                  <c:v>7.6615039999999999</c:v>
                </c:pt>
                <c:pt idx="389">
                  <c:v>13.846228</c:v>
                </c:pt>
                <c:pt idx="390">
                  <c:v>15.51385</c:v>
                </c:pt>
                <c:pt idx="391">
                  <c:v>15.092385</c:v>
                </c:pt>
                <c:pt idx="392">
                  <c:v>8.4310980000000004</c:v>
                </c:pt>
                <c:pt idx="393">
                  <c:v>8.908493</c:v>
                </c:pt>
                <c:pt idx="394">
                  <c:v>11.661344</c:v>
                </c:pt>
                <c:pt idx="395">
                  <c:v>15.438643000000001</c:v>
                </c:pt>
                <c:pt idx="396">
                  <c:v>14.212643</c:v>
                </c:pt>
                <c:pt idx="397">
                  <c:v>9.7558299999999996</c:v>
                </c:pt>
                <c:pt idx="398">
                  <c:v>10.491991000000001</c:v>
                </c:pt>
                <c:pt idx="399">
                  <c:v>13.729858999999999</c:v>
                </c:pt>
                <c:pt idx="400">
                  <c:v>11.911056</c:v>
                </c:pt>
                <c:pt idx="401">
                  <c:v>13.052493</c:v>
                </c:pt>
                <c:pt idx="402">
                  <c:v>21.368943999999999</c:v>
                </c:pt>
                <c:pt idx="403">
                  <c:v>11.040863</c:v>
                </c:pt>
                <c:pt idx="404">
                  <c:v>13.094246999999999</c:v>
                </c:pt>
                <c:pt idx="405">
                  <c:v>16.134629</c:v>
                </c:pt>
                <c:pt idx="406">
                  <c:v>13.193818</c:v>
                </c:pt>
                <c:pt idx="407">
                  <c:v>12.119130999999999</c:v>
                </c:pt>
                <c:pt idx="408">
                  <c:v>7.8357840000000003</c:v>
                </c:pt>
                <c:pt idx="409">
                  <c:v>7.6819819999999996</c:v>
                </c:pt>
                <c:pt idx="410">
                  <c:v>11.589155999999999</c:v>
                </c:pt>
                <c:pt idx="411">
                  <c:v>13.203493999999999</c:v>
                </c:pt>
                <c:pt idx="412">
                  <c:v>8.1703480000000006</c:v>
                </c:pt>
                <c:pt idx="413">
                  <c:v>10.05064</c:v>
                </c:pt>
                <c:pt idx="414">
                  <c:v>11.746805</c:v>
                </c:pt>
                <c:pt idx="415">
                  <c:v>10.681141</c:v>
                </c:pt>
                <c:pt idx="416">
                  <c:v>9.4539860000000004</c:v>
                </c:pt>
                <c:pt idx="417">
                  <c:v>9.7034920000000007</c:v>
                </c:pt>
                <c:pt idx="418">
                  <c:v>11.928615000000001</c:v>
                </c:pt>
                <c:pt idx="419">
                  <c:v>11.812161</c:v>
                </c:pt>
                <c:pt idx="420">
                  <c:v>16.770797000000002</c:v>
                </c:pt>
                <c:pt idx="421">
                  <c:v>25.775804000000001</c:v>
                </c:pt>
                <c:pt idx="422">
                  <c:v>16.876615999999999</c:v>
                </c:pt>
                <c:pt idx="423">
                  <c:v>51.478068</c:v>
                </c:pt>
                <c:pt idx="424">
                  <c:v>12.999605000000001</c:v>
                </c:pt>
                <c:pt idx="425">
                  <c:v>12.370385000000001</c:v>
                </c:pt>
                <c:pt idx="426">
                  <c:v>8.0516830000000006</c:v>
                </c:pt>
                <c:pt idx="427">
                  <c:v>15.512328</c:v>
                </c:pt>
                <c:pt idx="428">
                  <c:v>10.845198</c:v>
                </c:pt>
                <c:pt idx="429">
                  <c:v>7.8039630000000004</c:v>
                </c:pt>
                <c:pt idx="430">
                  <c:v>13.988184</c:v>
                </c:pt>
                <c:pt idx="431">
                  <c:v>15.712002999999999</c:v>
                </c:pt>
                <c:pt idx="432">
                  <c:v>13.950882</c:v>
                </c:pt>
                <c:pt idx="433">
                  <c:v>14.818562</c:v>
                </c:pt>
                <c:pt idx="434">
                  <c:v>11.511094</c:v>
                </c:pt>
                <c:pt idx="435">
                  <c:v>10.018205999999999</c:v>
                </c:pt>
                <c:pt idx="436">
                  <c:v>9.280049</c:v>
                </c:pt>
                <c:pt idx="437">
                  <c:v>4.5710879999999996</c:v>
                </c:pt>
                <c:pt idx="438">
                  <c:v>7.1279760000000003</c:v>
                </c:pt>
                <c:pt idx="439">
                  <c:v>7.7783629999999997</c:v>
                </c:pt>
                <c:pt idx="440">
                  <c:v>12.203058</c:v>
                </c:pt>
                <c:pt idx="441">
                  <c:v>13.845672</c:v>
                </c:pt>
                <c:pt idx="442">
                  <c:v>10.548629999999999</c:v>
                </c:pt>
                <c:pt idx="443">
                  <c:v>13.972981000000001</c:v>
                </c:pt>
                <c:pt idx="444">
                  <c:v>10.44201</c:v>
                </c:pt>
                <c:pt idx="445">
                  <c:v>12.558721</c:v>
                </c:pt>
                <c:pt idx="446">
                  <c:v>10.789056</c:v>
                </c:pt>
                <c:pt idx="447">
                  <c:v>9.4168029999999998</c:v>
                </c:pt>
                <c:pt idx="448">
                  <c:v>8.3416069999999998</c:v>
                </c:pt>
                <c:pt idx="449">
                  <c:v>10.300281999999999</c:v>
                </c:pt>
                <c:pt idx="450">
                  <c:v>13.877215</c:v>
                </c:pt>
                <c:pt idx="451">
                  <c:v>6.0786340000000001</c:v>
                </c:pt>
                <c:pt idx="452">
                  <c:v>17.052268000000002</c:v>
                </c:pt>
                <c:pt idx="453">
                  <c:v>17.017589999999998</c:v>
                </c:pt>
                <c:pt idx="454">
                  <c:v>34.141663999999999</c:v>
                </c:pt>
                <c:pt idx="455">
                  <c:v>8.6066889999999994</c:v>
                </c:pt>
                <c:pt idx="456">
                  <c:v>17.817688</c:v>
                </c:pt>
                <c:pt idx="457">
                  <c:v>22.40409</c:v>
                </c:pt>
                <c:pt idx="458">
                  <c:v>7.2202219999999997</c:v>
                </c:pt>
                <c:pt idx="459">
                  <c:v>7.0779779999999999</c:v>
                </c:pt>
                <c:pt idx="460">
                  <c:v>6.761171</c:v>
                </c:pt>
                <c:pt idx="461">
                  <c:v>5.9513360000000004</c:v>
                </c:pt>
                <c:pt idx="462">
                  <c:v>5.9351849999999997</c:v>
                </c:pt>
                <c:pt idx="463">
                  <c:v>19.989280000000001</c:v>
                </c:pt>
                <c:pt idx="464">
                  <c:v>10.530357</c:v>
                </c:pt>
                <c:pt idx="465">
                  <c:v>8.760211</c:v>
                </c:pt>
                <c:pt idx="466">
                  <c:v>10.992737</c:v>
                </c:pt>
                <c:pt idx="467">
                  <c:v>12.100056</c:v>
                </c:pt>
                <c:pt idx="468">
                  <c:v>9.2825489999999995</c:v>
                </c:pt>
                <c:pt idx="469">
                  <c:v>8.0854180000000007</c:v>
                </c:pt>
                <c:pt idx="470">
                  <c:v>9.1161689999999993</c:v>
                </c:pt>
                <c:pt idx="471">
                  <c:v>16.664522999999999</c:v>
                </c:pt>
                <c:pt idx="472">
                  <c:v>13.483072</c:v>
                </c:pt>
                <c:pt idx="473">
                  <c:v>11.492036000000001</c:v>
                </c:pt>
                <c:pt idx="474">
                  <c:v>15.71241</c:v>
                </c:pt>
                <c:pt idx="475">
                  <c:v>10.900923000000001</c:v>
                </c:pt>
                <c:pt idx="476">
                  <c:v>16.432897000000001</c:v>
                </c:pt>
                <c:pt idx="477">
                  <c:v>15.813853</c:v>
                </c:pt>
                <c:pt idx="478">
                  <c:v>17.921023999999999</c:v>
                </c:pt>
                <c:pt idx="479">
                  <c:v>26.211096000000001</c:v>
                </c:pt>
                <c:pt idx="480">
                  <c:v>7.2098789999999999</c:v>
                </c:pt>
                <c:pt idx="481">
                  <c:v>14.432007</c:v>
                </c:pt>
                <c:pt idx="482">
                  <c:v>13.777041000000001</c:v>
                </c:pt>
                <c:pt idx="483">
                  <c:v>12.604317</c:v>
                </c:pt>
                <c:pt idx="484">
                  <c:v>7.7417439999999997</c:v>
                </c:pt>
                <c:pt idx="485">
                  <c:v>9.1565480000000008</c:v>
                </c:pt>
                <c:pt idx="486">
                  <c:v>9.2565220000000004</c:v>
                </c:pt>
                <c:pt idx="487">
                  <c:v>5.2926349999999998</c:v>
                </c:pt>
                <c:pt idx="488">
                  <c:v>3.7319429999999998</c:v>
                </c:pt>
                <c:pt idx="489">
                  <c:v>4.0325660000000001</c:v>
                </c:pt>
                <c:pt idx="490">
                  <c:v>4.1383489999999998</c:v>
                </c:pt>
                <c:pt idx="491">
                  <c:v>2.591466</c:v>
                </c:pt>
                <c:pt idx="492">
                  <c:v>2.4185089999999998</c:v>
                </c:pt>
                <c:pt idx="493">
                  <c:v>2.7673719999999999</c:v>
                </c:pt>
                <c:pt idx="494">
                  <c:v>3.2984390000000001</c:v>
                </c:pt>
                <c:pt idx="495">
                  <c:v>2.6453280000000001</c:v>
                </c:pt>
                <c:pt idx="496">
                  <c:v>2.4978609999999999</c:v>
                </c:pt>
                <c:pt idx="497">
                  <c:v>3.079313</c:v>
                </c:pt>
                <c:pt idx="498">
                  <c:v>3.9223569999999999</c:v>
                </c:pt>
                <c:pt idx="499">
                  <c:v>4.7100229999999996</c:v>
                </c:pt>
                <c:pt idx="500">
                  <c:v>2.3630239999999998</c:v>
                </c:pt>
                <c:pt idx="501">
                  <c:v>3.137051</c:v>
                </c:pt>
                <c:pt idx="502">
                  <c:v>2.7083759999999999</c:v>
                </c:pt>
                <c:pt idx="503">
                  <c:v>3.6665350000000001</c:v>
                </c:pt>
                <c:pt idx="504">
                  <c:v>3.3216670000000001</c:v>
                </c:pt>
                <c:pt idx="505">
                  <c:v>3.3893080000000002</c:v>
                </c:pt>
                <c:pt idx="506">
                  <c:v>3.771703</c:v>
                </c:pt>
                <c:pt idx="507">
                  <c:v>4.389049</c:v>
                </c:pt>
                <c:pt idx="508">
                  <c:v>7.214963</c:v>
                </c:pt>
                <c:pt idx="509">
                  <c:v>5.7153850000000004</c:v>
                </c:pt>
                <c:pt idx="510">
                  <c:v>6.8411150000000003</c:v>
                </c:pt>
                <c:pt idx="511">
                  <c:v>12.436280999999999</c:v>
                </c:pt>
                <c:pt idx="512">
                  <c:v>18.441870000000002</c:v>
                </c:pt>
                <c:pt idx="513">
                  <c:v>10.188072999999999</c:v>
                </c:pt>
                <c:pt idx="514">
                  <c:v>33.616028</c:v>
                </c:pt>
                <c:pt idx="515">
                  <c:v>4.3184639999999996</c:v>
                </c:pt>
                <c:pt idx="516">
                  <c:v>3.3828309999999999</c:v>
                </c:pt>
                <c:pt idx="517">
                  <c:v>4.003717</c:v>
                </c:pt>
                <c:pt idx="518">
                  <c:v>3.741574</c:v>
                </c:pt>
                <c:pt idx="519">
                  <c:v>2.3431600000000001</c:v>
                </c:pt>
                <c:pt idx="520">
                  <c:v>3.3647269999999998</c:v>
                </c:pt>
                <c:pt idx="521">
                  <c:v>2.5181879999999999</c:v>
                </c:pt>
                <c:pt idx="522">
                  <c:v>5.1280510000000001</c:v>
                </c:pt>
                <c:pt idx="523">
                  <c:v>2.3100420000000002</c:v>
                </c:pt>
                <c:pt idx="524">
                  <c:v>2.6661109999999999</c:v>
                </c:pt>
                <c:pt idx="525">
                  <c:v>1.8416939999999999</c:v>
                </c:pt>
                <c:pt idx="526">
                  <c:v>2.3661050000000001</c:v>
                </c:pt>
                <c:pt idx="527">
                  <c:v>2.3614259999999998</c:v>
                </c:pt>
                <c:pt idx="528">
                  <c:v>3.7844139999999999</c:v>
                </c:pt>
                <c:pt idx="529">
                  <c:v>3.78281</c:v>
                </c:pt>
                <c:pt idx="530">
                  <c:v>3.3001330000000002</c:v>
                </c:pt>
                <c:pt idx="531">
                  <c:v>2.1358069999999998</c:v>
                </c:pt>
                <c:pt idx="532">
                  <c:v>2.2254559999999999</c:v>
                </c:pt>
                <c:pt idx="533">
                  <c:v>2.3337119999999998</c:v>
                </c:pt>
                <c:pt idx="534">
                  <c:v>2.4057590000000002</c:v>
                </c:pt>
                <c:pt idx="535">
                  <c:v>2.1816529999999998</c:v>
                </c:pt>
                <c:pt idx="536">
                  <c:v>1.9269849999999999</c:v>
                </c:pt>
                <c:pt idx="537">
                  <c:v>1.745296</c:v>
                </c:pt>
                <c:pt idx="538">
                  <c:v>1.4131940000000001</c:v>
                </c:pt>
                <c:pt idx="539">
                  <c:v>2.3268529999999998</c:v>
                </c:pt>
                <c:pt idx="540">
                  <c:v>2.3809399999999998</c:v>
                </c:pt>
                <c:pt idx="541">
                  <c:v>2.5151590000000001</c:v>
                </c:pt>
                <c:pt idx="542">
                  <c:v>2.904938</c:v>
                </c:pt>
                <c:pt idx="543">
                  <c:v>3.684472</c:v>
                </c:pt>
                <c:pt idx="544">
                  <c:v>3.4914689999999999</c:v>
                </c:pt>
                <c:pt idx="545">
                  <c:v>5.5449419999999998</c:v>
                </c:pt>
                <c:pt idx="546">
                  <c:v>3.955981</c:v>
                </c:pt>
                <c:pt idx="547">
                  <c:v>2.522008</c:v>
                </c:pt>
                <c:pt idx="548">
                  <c:v>2.7469000000000001</c:v>
                </c:pt>
                <c:pt idx="549">
                  <c:v>4.7286029999999997</c:v>
                </c:pt>
                <c:pt idx="550">
                  <c:v>3.3212199999999998</c:v>
                </c:pt>
                <c:pt idx="551">
                  <c:v>5.8265510000000003</c:v>
                </c:pt>
                <c:pt idx="552">
                  <c:v>9.931635</c:v>
                </c:pt>
                <c:pt idx="553">
                  <c:v>4.7674729999999998</c:v>
                </c:pt>
                <c:pt idx="554">
                  <c:v>7.5451709999999999</c:v>
                </c:pt>
                <c:pt idx="555">
                  <c:v>4.1751269999999998</c:v>
                </c:pt>
                <c:pt idx="556">
                  <c:v>2.4909180000000002</c:v>
                </c:pt>
                <c:pt idx="557">
                  <c:v>2.2728510000000002</c:v>
                </c:pt>
                <c:pt idx="558">
                  <c:v>4.1026439999999997</c:v>
                </c:pt>
                <c:pt idx="559">
                  <c:v>3.1102059999999998</c:v>
                </c:pt>
                <c:pt idx="560">
                  <c:v>1.58273</c:v>
                </c:pt>
                <c:pt idx="561">
                  <c:v>1.7947759999999999</c:v>
                </c:pt>
                <c:pt idx="562">
                  <c:v>3.8599920000000001</c:v>
                </c:pt>
                <c:pt idx="563">
                  <c:v>3.7010800000000001</c:v>
                </c:pt>
                <c:pt idx="564">
                  <c:v>1.7995719999999999</c:v>
                </c:pt>
                <c:pt idx="565">
                  <c:v>2.3829069999999999</c:v>
                </c:pt>
                <c:pt idx="566">
                  <c:v>3.1022319999999999</c:v>
                </c:pt>
                <c:pt idx="567">
                  <c:v>4.0584319999999998</c:v>
                </c:pt>
                <c:pt idx="568">
                  <c:v>2.9865499999999998</c:v>
                </c:pt>
                <c:pt idx="569">
                  <c:v>2.69781</c:v>
                </c:pt>
                <c:pt idx="570">
                  <c:v>2.2845390000000001</c:v>
                </c:pt>
                <c:pt idx="571">
                  <c:v>3.3577650000000001</c:v>
                </c:pt>
                <c:pt idx="572">
                  <c:v>1.7287939999999999</c:v>
                </c:pt>
                <c:pt idx="573">
                  <c:v>1.8834880000000001</c:v>
                </c:pt>
                <c:pt idx="574">
                  <c:v>2.0013709999999998</c:v>
                </c:pt>
                <c:pt idx="575">
                  <c:v>2.736599</c:v>
                </c:pt>
                <c:pt idx="576">
                  <c:v>2.3485550000000002</c:v>
                </c:pt>
                <c:pt idx="577">
                  <c:v>4.8544130000000001</c:v>
                </c:pt>
                <c:pt idx="578">
                  <c:v>3.397599</c:v>
                </c:pt>
                <c:pt idx="579">
                  <c:v>4.232526</c:v>
                </c:pt>
                <c:pt idx="580">
                  <c:v>4.5191499999999998</c:v>
                </c:pt>
                <c:pt idx="581">
                  <c:v>5.6133009999999999</c:v>
                </c:pt>
                <c:pt idx="582">
                  <c:v>2.0526749999999998</c:v>
                </c:pt>
                <c:pt idx="583">
                  <c:v>2.835699</c:v>
                </c:pt>
                <c:pt idx="584">
                  <c:v>3.1659860000000002</c:v>
                </c:pt>
                <c:pt idx="585">
                  <c:v>4.2330040000000002</c:v>
                </c:pt>
                <c:pt idx="586">
                  <c:v>5.4666740000000003</c:v>
                </c:pt>
                <c:pt idx="587">
                  <c:v>3.2405710000000001</c:v>
                </c:pt>
                <c:pt idx="588">
                  <c:v>3.8588330000000002</c:v>
                </c:pt>
                <c:pt idx="589">
                  <c:v>2.1503389999999998</c:v>
                </c:pt>
                <c:pt idx="590">
                  <c:v>1.617764</c:v>
                </c:pt>
                <c:pt idx="591">
                  <c:v>2.050843</c:v>
                </c:pt>
                <c:pt idx="592">
                  <c:v>2.3173490000000001</c:v>
                </c:pt>
                <c:pt idx="593">
                  <c:v>3.8768349999999998</c:v>
                </c:pt>
                <c:pt idx="594">
                  <c:v>3.2613050000000001</c:v>
                </c:pt>
                <c:pt idx="595">
                  <c:v>2.8817010000000001</c:v>
                </c:pt>
                <c:pt idx="596">
                  <c:v>2.318791</c:v>
                </c:pt>
                <c:pt idx="597">
                  <c:v>3.4085610000000002</c:v>
                </c:pt>
                <c:pt idx="598">
                  <c:v>1.6315280000000001</c:v>
                </c:pt>
                <c:pt idx="599">
                  <c:v>2.0000870000000002</c:v>
                </c:pt>
                <c:pt idx="600">
                  <c:v>0.75667799999999996</c:v>
                </c:pt>
                <c:pt idx="601">
                  <c:v>2.2421530000000001</c:v>
                </c:pt>
                <c:pt idx="602">
                  <c:v>1.6893180000000001</c:v>
                </c:pt>
                <c:pt idx="603">
                  <c:v>2.3456290000000002</c:v>
                </c:pt>
                <c:pt idx="604">
                  <c:v>3.034545</c:v>
                </c:pt>
                <c:pt idx="605">
                  <c:v>5.5824720000000001</c:v>
                </c:pt>
                <c:pt idx="606">
                  <c:v>2.6957990000000001</c:v>
                </c:pt>
                <c:pt idx="607">
                  <c:v>6.8168620000000004</c:v>
                </c:pt>
                <c:pt idx="608">
                  <c:v>3.905078</c:v>
                </c:pt>
                <c:pt idx="609">
                  <c:v>3.0274269999999999</c:v>
                </c:pt>
                <c:pt idx="610">
                  <c:v>4.0507609999999996</c:v>
                </c:pt>
                <c:pt idx="611">
                  <c:v>3.297939</c:v>
                </c:pt>
                <c:pt idx="612">
                  <c:v>3.7620990000000001</c:v>
                </c:pt>
                <c:pt idx="613">
                  <c:v>1.461417</c:v>
                </c:pt>
                <c:pt idx="614">
                  <c:v>2.2377280000000002</c:v>
                </c:pt>
                <c:pt idx="615">
                  <c:v>1.658283</c:v>
                </c:pt>
                <c:pt idx="616">
                  <c:v>1.8682939999999999</c:v>
                </c:pt>
                <c:pt idx="617">
                  <c:v>2.1433909999999998</c:v>
                </c:pt>
                <c:pt idx="618">
                  <c:v>2.49397</c:v>
                </c:pt>
                <c:pt idx="619">
                  <c:v>1.8784350000000001</c:v>
                </c:pt>
                <c:pt idx="620">
                  <c:v>2.4475359999999999</c:v>
                </c:pt>
                <c:pt idx="621">
                  <c:v>2.85175</c:v>
                </c:pt>
                <c:pt idx="622">
                  <c:v>2.707233</c:v>
                </c:pt>
                <c:pt idx="623">
                  <c:v>1.7465250000000001</c:v>
                </c:pt>
                <c:pt idx="624">
                  <c:v>1.309774</c:v>
                </c:pt>
                <c:pt idx="625">
                  <c:v>1.7711980000000001</c:v>
                </c:pt>
                <c:pt idx="626">
                  <c:v>1.571542</c:v>
                </c:pt>
                <c:pt idx="627">
                  <c:v>1.966453</c:v>
                </c:pt>
                <c:pt idx="628">
                  <c:v>1.9116359999999999</c:v>
                </c:pt>
                <c:pt idx="629">
                  <c:v>1.7257940000000001</c:v>
                </c:pt>
                <c:pt idx="630">
                  <c:v>2.844452</c:v>
                </c:pt>
                <c:pt idx="631">
                  <c:v>1.8829260000000001</c:v>
                </c:pt>
                <c:pt idx="632">
                  <c:v>2.7918889999999998</c:v>
                </c:pt>
                <c:pt idx="633">
                  <c:v>2.163192</c:v>
                </c:pt>
                <c:pt idx="634">
                  <c:v>2.5643189999999998</c:v>
                </c:pt>
                <c:pt idx="635">
                  <c:v>1.822354</c:v>
                </c:pt>
                <c:pt idx="636">
                  <c:v>2.5775730000000001</c:v>
                </c:pt>
                <c:pt idx="637">
                  <c:v>4.3395450000000002</c:v>
                </c:pt>
                <c:pt idx="638">
                  <c:v>2.7320739999999999</c:v>
                </c:pt>
                <c:pt idx="639">
                  <c:v>8.1088869999999993</c:v>
                </c:pt>
                <c:pt idx="640">
                  <c:v>1.665891</c:v>
                </c:pt>
                <c:pt idx="641">
                  <c:v>1.5986800000000001</c:v>
                </c:pt>
                <c:pt idx="642">
                  <c:v>1.4598709999999999</c:v>
                </c:pt>
                <c:pt idx="643">
                  <c:v>1.9608840000000001</c:v>
                </c:pt>
                <c:pt idx="644">
                  <c:v>2.4641259999999998</c:v>
                </c:pt>
                <c:pt idx="645">
                  <c:v>2.8149709999999999</c:v>
                </c:pt>
                <c:pt idx="646">
                  <c:v>1.994192</c:v>
                </c:pt>
                <c:pt idx="647">
                  <c:v>1.587358</c:v>
                </c:pt>
                <c:pt idx="648">
                  <c:v>1.8972089999999999</c:v>
                </c:pt>
                <c:pt idx="649">
                  <c:v>4.046532</c:v>
                </c:pt>
                <c:pt idx="650">
                  <c:v>2.272824</c:v>
                </c:pt>
                <c:pt idx="651">
                  <c:v>2.4747309999999998</c:v>
                </c:pt>
                <c:pt idx="652">
                  <c:v>2.8414069999999998</c:v>
                </c:pt>
                <c:pt idx="653">
                  <c:v>3.295372</c:v>
                </c:pt>
                <c:pt idx="654">
                  <c:v>3.0213570000000001</c:v>
                </c:pt>
                <c:pt idx="655">
                  <c:v>2.9497450000000001</c:v>
                </c:pt>
                <c:pt idx="656">
                  <c:v>4.1899600000000001</c:v>
                </c:pt>
                <c:pt idx="657">
                  <c:v>2.1400269999999999</c:v>
                </c:pt>
                <c:pt idx="658">
                  <c:v>2.1165660000000002</c:v>
                </c:pt>
                <c:pt idx="659">
                  <c:v>2.4425829999999999</c:v>
                </c:pt>
                <c:pt idx="660">
                  <c:v>2.7322250000000001</c:v>
                </c:pt>
                <c:pt idx="661">
                  <c:v>3.319661</c:v>
                </c:pt>
                <c:pt idx="662">
                  <c:v>2.0576050000000001</c:v>
                </c:pt>
                <c:pt idx="663">
                  <c:v>4.4556800000000001</c:v>
                </c:pt>
                <c:pt idx="664">
                  <c:v>2.8878910000000002</c:v>
                </c:pt>
                <c:pt idx="665">
                  <c:v>4.483886</c:v>
                </c:pt>
                <c:pt idx="666">
                  <c:v>2.3411529999999998</c:v>
                </c:pt>
                <c:pt idx="667">
                  <c:v>3.4117479999999998</c:v>
                </c:pt>
                <c:pt idx="668">
                  <c:v>5.4972399999999997</c:v>
                </c:pt>
                <c:pt idx="669">
                  <c:v>5.6665510000000001</c:v>
                </c:pt>
                <c:pt idx="670">
                  <c:v>6.8135859999999999</c:v>
                </c:pt>
                <c:pt idx="671">
                  <c:v>21.325772000000001</c:v>
                </c:pt>
                <c:pt idx="672">
                  <c:v>3.8376800000000002</c:v>
                </c:pt>
                <c:pt idx="673">
                  <c:v>3.0735100000000002</c:v>
                </c:pt>
                <c:pt idx="674">
                  <c:v>2.9519890000000002</c:v>
                </c:pt>
                <c:pt idx="675">
                  <c:v>4.7360530000000001</c:v>
                </c:pt>
                <c:pt idx="676">
                  <c:v>3.0703990000000001</c:v>
                </c:pt>
                <c:pt idx="677">
                  <c:v>3.6674190000000002</c:v>
                </c:pt>
                <c:pt idx="678">
                  <c:v>4.2478480000000003</c:v>
                </c:pt>
                <c:pt idx="679">
                  <c:v>3.9781620000000002</c:v>
                </c:pt>
                <c:pt idx="680">
                  <c:v>3.1052010000000001</c:v>
                </c:pt>
                <c:pt idx="681">
                  <c:v>2.1052499999999998</c:v>
                </c:pt>
                <c:pt idx="682">
                  <c:v>2.7561580000000001</c:v>
                </c:pt>
                <c:pt idx="683">
                  <c:v>1.9212739999999999</c:v>
                </c:pt>
                <c:pt idx="684">
                  <c:v>2.22309</c:v>
                </c:pt>
                <c:pt idx="685">
                  <c:v>1.6078380000000001</c:v>
                </c:pt>
                <c:pt idx="686">
                  <c:v>2.0010110000000001</c:v>
                </c:pt>
                <c:pt idx="687">
                  <c:v>1.53521</c:v>
                </c:pt>
                <c:pt idx="688">
                  <c:v>2.0830030000000002</c:v>
                </c:pt>
                <c:pt idx="689">
                  <c:v>2.389589</c:v>
                </c:pt>
                <c:pt idx="690">
                  <c:v>3.3091560000000002</c:v>
                </c:pt>
                <c:pt idx="691">
                  <c:v>2.2649089999999998</c:v>
                </c:pt>
                <c:pt idx="692">
                  <c:v>2.542068</c:v>
                </c:pt>
                <c:pt idx="693">
                  <c:v>1.9101440000000001</c:v>
                </c:pt>
                <c:pt idx="694">
                  <c:v>1.9654659999999999</c:v>
                </c:pt>
                <c:pt idx="695">
                  <c:v>1.950188</c:v>
                </c:pt>
                <c:pt idx="696">
                  <c:v>2.1449050000000001</c:v>
                </c:pt>
                <c:pt idx="697">
                  <c:v>2.1989070000000002</c:v>
                </c:pt>
                <c:pt idx="698">
                  <c:v>2.28627</c:v>
                </c:pt>
                <c:pt idx="699">
                  <c:v>2.7723170000000001</c:v>
                </c:pt>
                <c:pt idx="700">
                  <c:v>2.4140380000000001</c:v>
                </c:pt>
                <c:pt idx="701">
                  <c:v>2.3231929999999998</c:v>
                </c:pt>
                <c:pt idx="702">
                  <c:v>2.2114530000000001</c:v>
                </c:pt>
                <c:pt idx="703">
                  <c:v>3.1770700000000001</c:v>
                </c:pt>
                <c:pt idx="704">
                  <c:v>3.1662149999999998</c:v>
                </c:pt>
                <c:pt idx="705">
                  <c:v>2.88497</c:v>
                </c:pt>
                <c:pt idx="706">
                  <c:v>3.3954659999999999</c:v>
                </c:pt>
                <c:pt idx="707">
                  <c:v>18.820650000000001</c:v>
                </c:pt>
                <c:pt idx="708">
                  <c:v>3.0567340000000001</c:v>
                </c:pt>
                <c:pt idx="709">
                  <c:v>4.7394299999999996</c:v>
                </c:pt>
                <c:pt idx="710">
                  <c:v>5.8440250000000002</c:v>
                </c:pt>
                <c:pt idx="711">
                  <c:v>6.5626420000000003</c:v>
                </c:pt>
                <c:pt idx="712">
                  <c:v>5.4559879999999996</c:v>
                </c:pt>
                <c:pt idx="713">
                  <c:v>6.368093</c:v>
                </c:pt>
                <c:pt idx="714">
                  <c:v>3.9520080000000002</c:v>
                </c:pt>
                <c:pt idx="715">
                  <c:v>5.0826650000000004</c:v>
                </c:pt>
                <c:pt idx="716">
                  <c:v>5.1910780000000001</c:v>
                </c:pt>
                <c:pt idx="717">
                  <c:v>4.0969439999999997</c:v>
                </c:pt>
                <c:pt idx="718">
                  <c:v>5.4538250000000001</c:v>
                </c:pt>
                <c:pt idx="719">
                  <c:v>5.0553540000000003</c:v>
                </c:pt>
                <c:pt idx="720">
                  <c:v>5.976712</c:v>
                </c:pt>
                <c:pt idx="721">
                  <c:v>3.3198599999999998</c:v>
                </c:pt>
                <c:pt idx="722">
                  <c:v>4.3894080000000004</c:v>
                </c:pt>
                <c:pt idx="723">
                  <c:v>5.0815279999999996</c:v>
                </c:pt>
                <c:pt idx="724">
                  <c:v>7.8396569999999999</c:v>
                </c:pt>
                <c:pt idx="725">
                  <c:v>6.4955319999999999</c:v>
                </c:pt>
                <c:pt idx="726">
                  <c:v>5.0365310000000001</c:v>
                </c:pt>
                <c:pt idx="727">
                  <c:v>3.4867360000000001</c:v>
                </c:pt>
                <c:pt idx="728">
                  <c:v>3.9732400000000001</c:v>
                </c:pt>
                <c:pt idx="729">
                  <c:v>3.7170740000000002</c:v>
                </c:pt>
                <c:pt idx="730">
                  <c:v>5.048387</c:v>
                </c:pt>
                <c:pt idx="731">
                  <c:v>6.7154069999999999</c:v>
                </c:pt>
                <c:pt idx="732">
                  <c:v>8.7118680000000008</c:v>
                </c:pt>
                <c:pt idx="733">
                  <c:v>7.0376300000000001</c:v>
                </c:pt>
                <c:pt idx="734">
                  <c:v>6.0700019999999997</c:v>
                </c:pt>
                <c:pt idx="735">
                  <c:v>6.8250419999999998</c:v>
                </c:pt>
                <c:pt idx="736">
                  <c:v>7.4279580000000003</c:v>
                </c:pt>
                <c:pt idx="737">
                  <c:v>7.4443979999999996</c:v>
                </c:pt>
                <c:pt idx="738">
                  <c:v>7.0718209999999999</c:v>
                </c:pt>
                <c:pt idx="739">
                  <c:v>8.2368469999999991</c:v>
                </c:pt>
                <c:pt idx="740">
                  <c:v>7.0526160000000004</c:v>
                </c:pt>
                <c:pt idx="741">
                  <c:v>8.7108779999999992</c:v>
                </c:pt>
                <c:pt idx="742">
                  <c:v>13.141857</c:v>
                </c:pt>
                <c:pt idx="743">
                  <c:v>17.095987999999998</c:v>
                </c:pt>
                <c:pt idx="744">
                  <c:v>6.1202019999999999</c:v>
                </c:pt>
                <c:pt idx="745">
                  <c:v>4.2411779999999997</c:v>
                </c:pt>
                <c:pt idx="746">
                  <c:v>5.3774620000000004</c:v>
                </c:pt>
                <c:pt idx="747">
                  <c:v>4.7677500000000004</c:v>
                </c:pt>
                <c:pt idx="748">
                  <c:v>7.2999879999999999</c:v>
                </c:pt>
                <c:pt idx="749">
                  <c:v>5.3479299999999999</c:v>
                </c:pt>
                <c:pt idx="750">
                  <c:v>6.2869159999999997</c:v>
                </c:pt>
                <c:pt idx="751">
                  <c:v>5.9553260000000003</c:v>
                </c:pt>
                <c:pt idx="752">
                  <c:v>17.0091</c:v>
                </c:pt>
                <c:pt idx="753">
                  <c:v>3.7927270000000002</c:v>
                </c:pt>
                <c:pt idx="754">
                  <c:v>4.2089470000000002</c:v>
                </c:pt>
                <c:pt idx="755">
                  <c:v>3.4649909999999999</c:v>
                </c:pt>
                <c:pt idx="756">
                  <c:v>3.344989</c:v>
                </c:pt>
                <c:pt idx="757">
                  <c:v>3.297965</c:v>
                </c:pt>
                <c:pt idx="758">
                  <c:v>6.0978510000000004</c:v>
                </c:pt>
                <c:pt idx="759">
                  <c:v>1.376387</c:v>
                </c:pt>
                <c:pt idx="760">
                  <c:v>1.9416199999999999</c:v>
                </c:pt>
                <c:pt idx="761">
                  <c:v>3.2627950000000001</c:v>
                </c:pt>
                <c:pt idx="762">
                  <c:v>3.6752319999999998</c:v>
                </c:pt>
                <c:pt idx="763">
                  <c:v>3.0280749999999999</c:v>
                </c:pt>
                <c:pt idx="764">
                  <c:v>2.98245</c:v>
                </c:pt>
                <c:pt idx="765">
                  <c:v>4.2052610000000001</c:v>
                </c:pt>
                <c:pt idx="766">
                  <c:v>6.7653080000000001</c:v>
                </c:pt>
              </c:numCache>
            </c:numRef>
          </c:val>
          <c:smooth val="0"/>
          <c:extLst>
            <c:ext xmlns:c16="http://schemas.microsoft.com/office/drawing/2014/chart" uri="{C3380CC4-5D6E-409C-BE32-E72D297353CC}">
              <c16:uniqueId val="{00000001-8FB3-2242-9F49-C78ABBA67EE6}"/>
            </c:ext>
          </c:extLst>
        </c:ser>
        <c:dLbls>
          <c:showLegendKey val="0"/>
          <c:showVal val="0"/>
          <c:showCatName val="0"/>
          <c:showSerName val="0"/>
          <c:showPercent val="0"/>
          <c:showBubbleSize val="0"/>
        </c:dLbls>
        <c:marker val="1"/>
        <c:smooth val="0"/>
        <c:axId val="1636346591"/>
        <c:axId val="1635975503"/>
      </c:lineChart>
      <c:dateAx>
        <c:axId val="107362889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830329647"/>
        <c:crosses val="autoZero"/>
        <c:auto val="1"/>
        <c:lblOffset val="100"/>
        <c:baseTimeUnit val="days"/>
      </c:dateAx>
      <c:valAx>
        <c:axId val="183032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73628895"/>
        <c:crosses val="autoZero"/>
        <c:crossBetween val="between"/>
      </c:valAx>
      <c:valAx>
        <c:axId val="16359755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636346591"/>
        <c:crosses val="max"/>
        <c:crossBetween val="between"/>
      </c:valAx>
      <c:dateAx>
        <c:axId val="1636346591"/>
        <c:scaling>
          <c:orientation val="minMax"/>
        </c:scaling>
        <c:delete val="1"/>
        <c:axPos val="b"/>
        <c:numFmt formatCode="m/d/yyyy" sourceLinked="1"/>
        <c:majorTickMark val="out"/>
        <c:minorTickMark val="none"/>
        <c:tickLblPos val="nextTo"/>
        <c:crossAx val="1635975503"/>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2F81D788-4E98-4901-BA3A-2BF9343EFB28}">
          <cx:dataId val="0"/>
          <cx:layoutPr>
            <cx:binning intervalClosed="r">
              <cx:binSize val="2"/>
            </cx:binning>
          </cx:layoutPr>
        </cx:series>
      </cx:plotAreaRegion>
      <cx:axis id="0">
        <cx:catScaling gapWidth="0"/>
        <cx:tickLabels/>
        <cx:numFmt formatCode="_-[$$-en-US]* #,##0_ ;_-[$$-en-US]* -#,##0 ;_-[$$-en-US]* &quot;-&quot;_ ;_-@_ " sourceLinked="0"/>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axis>
      <cx:axis id="1" hidden="1">
        <cx:valScaling/>
        <cx:title>
          <cx:tx>
            <cx:txData>
              <cx:v>Axis Title</cx:v>
            </cx:txData>
          </cx:tx>
          <cx:txPr>
            <a:bodyPr spcFirstLastPara="1" vertOverflow="ellipsis" horzOverflow="overflow" wrap="square" lIns="0" tIns="0" rIns="0" bIns="0" anchor="ctr" anchorCtr="1"/>
            <a:lstStyle/>
            <a:p>
              <a:pPr algn="ctr" rtl="0">
                <a:defRPr/>
              </a:pPr>
              <a:r>
                <a:rPr lang="en-GB" sz="900" b="0" i="0" u="none" strike="noStrike" baseline="0">
                  <a:solidFill>
                    <a:sysClr val="windowText" lastClr="000000">
                      <a:lumMod val="65000"/>
                      <a:lumOff val="35000"/>
                    </a:sysClr>
                  </a:solidFill>
                  <a:latin typeface="Calibri" panose="020F0502020204030204"/>
                </a:rPr>
                <a:t>Axis Title</a:t>
              </a:r>
            </a:p>
          </cx:txPr>
        </cx:title>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D5118E5B-A3DC-5E4B-A909-6C0D6125ED24}">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3</xdr:row>
      <xdr:rowOff>3361</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233082</xdr:colOff>
      <xdr:row>23</xdr:row>
      <xdr:rowOff>189034</xdr:rowOff>
    </xdr:from>
    <xdr:to>
      <xdr:col>40</xdr:col>
      <xdr:colOff>44450</xdr:colOff>
      <xdr:row>35</xdr:row>
      <xdr:rowOff>107576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45</xdr:row>
      <xdr:rowOff>85725</xdr:rowOff>
    </xdr:from>
    <xdr:to>
      <xdr:col>5</xdr:col>
      <xdr:colOff>38402</xdr:colOff>
      <xdr:row>56</xdr:row>
      <xdr:rowOff>59851</xdr:rowOff>
    </xdr:to>
    <xdr:graphicFrame macro="">
      <xdr:nvGraphicFramePr>
        <xdr:cNvPr id="15" name="Chart 9">
          <a:extLst>
            <a:ext uri="{FF2B5EF4-FFF2-40B4-BE49-F238E27FC236}">
              <a16:creationId xmlns:a16="http://schemas.microsoft.com/office/drawing/2014/main" id="{F4642457-7651-4A77-B2D6-7C3D2C57EB49}"/>
            </a:ext>
            <a:ext uri="{147F2762-F138-4A5C-976F-8EAC2B608ADB}">
              <a16:predDERef xmlns:a16="http://schemas.microsoft.com/office/drawing/2014/main" pred="{4883C9AD-DCD9-4A8B-880E-8B0A37AB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295275</xdr:colOff>
      <xdr:row>58</xdr:row>
      <xdr:rowOff>0</xdr:rowOff>
    </xdr:from>
    <xdr:to>
      <xdr:col>17</xdr:col>
      <xdr:colOff>949325</xdr:colOff>
      <xdr:row>74</xdr:row>
      <xdr:rowOff>109855</xdr:rowOff>
    </xdr:to>
    <xdr:pic>
      <xdr:nvPicPr>
        <xdr:cNvPr id="17" name="Picture 5">
          <a:extLst>
            <a:ext uri="{FF2B5EF4-FFF2-40B4-BE49-F238E27FC236}">
              <a16:creationId xmlns:a16="http://schemas.microsoft.com/office/drawing/2014/main" id="{4C1A5A97-F1CC-7677-CAB1-10555A18F6EB}"/>
            </a:ext>
            <a:ext uri="{147F2762-F138-4A5C-976F-8EAC2B608ADB}">
              <a16:predDERef xmlns:a16="http://schemas.microsoft.com/office/drawing/2014/main" pred="{00000000-0008-0000-0000-000009000000}"/>
            </a:ext>
          </a:extLst>
        </xdr:cNvPr>
        <xdr:cNvPicPr>
          <a:picLocks noChangeAspect="1"/>
        </xdr:cNvPicPr>
      </xdr:nvPicPr>
      <xdr:blipFill>
        <a:blip xmlns:r="http://schemas.openxmlformats.org/officeDocument/2006/relationships" r:embed="rId4"/>
        <a:stretch>
          <a:fillRect/>
        </a:stretch>
      </xdr:blipFill>
      <xdr:spPr>
        <a:xfrm>
          <a:off x="7191375" y="10820400"/>
          <a:ext cx="7019925" cy="2952750"/>
        </a:xfrm>
        <a:prstGeom prst="rect">
          <a:avLst/>
        </a:prstGeom>
      </xdr:spPr>
    </xdr:pic>
    <xdr:clientData/>
  </xdr:twoCellAnchor>
  <xdr:twoCellAnchor>
    <xdr:from>
      <xdr:col>3</xdr:col>
      <xdr:colOff>28575</xdr:colOff>
      <xdr:row>45</xdr:row>
      <xdr:rowOff>9525</xdr:rowOff>
    </xdr:from>
    <xdr:to>
      <xdr:col>5</xdr:col>
      <xdr:colOff>904875</xdr:colOff>
      <xdr:row>56</xdr:row>
      <xdr:rowOff>171450</xdr:rowOff>
    </xdr:to>
    <xdr:graphicFrame macro="">
      <xdr:nvGraphicFramePr>
        <xdr:cNvPr id="14" name="Chart 2">
          <a:extLst>
            <a:ext uri="{FF2B5EF4-FFF2-40B4-BE49-F238E27FC236}">
              <a16:creationId xmlns:a16="http://schemas.microsoft.com/office/drawing/2014/main" id="{3AB581D3-E3C4-4A9C-ADD2-B8E0690D81A2}"/>
            </a:ext>
            <a:ext uri="{147F2762-F138-4A5C-976F-8EAC2B608ADB}">
              <a16:predDERef xmlns:a16="http://schemas.microsoft.com/office/drawing/2014/main" pred="{4C1A5A97-F1CC-7677-CAB1-10555A18F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885825</xdr:colOff>
      <xdr:row>45</xdr:row>
      <xdr:rowOff>9525</xdr:rowOff>
    </xdr:from>
    <xdr:to>
      <xdr:col>9</xdr:col>
      <xdr:colOff>0</xdr:colOff>
      <xdr:row>56</xdr:row>
      <xdr:rowOff>161925</xdr:rowOff>
    </xdr:to>
    <xdr:graphicFrame macro="">
      <xdr:nvGraphicFramePr>
        <xdr:cNvPr id="13" name="Chart 3">
          <a:extLst>
            <a:ext uri="{FF2B5EF4-FFF2-40B4-BE49-F238E27FC236}">
              <a16:creationId xmlns:a16="http://schemas.microsoft.com/office/drawing/2014/main" id="{346CC523-E32E-4533-A73A-80977A51836B}"/>
            </a:ext>
            <a:ext uri="{147F2762-F138-4A5C-976F-8EAC2B608ADB}">
              <a16:predDERef xmlns:a16="http://schemas.microsoft.com/office/drawing/2014/main" pred="{3AB581D3-E3C4-4A9C-ADD2-B8E0690D8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185821</xdr:colOff>
      <xdr:row>58</xdr:row>
      <xdr:rowOff>11587</xdr:rowOff>
    </xdr:from>
    <xdr:to>
      <xdr:col>9</xdr:col>
      <xdr:colOff>11140</xdr:colOff>
      <xdr:row>75</xdr:row>
      <xdr:rowOff>1449</xdr:rowOff>
    </xdr:to>
    <xdr:pic>
      <xdr:nvPicPr>
        <xdr:cNvPr id="3" name="Picture 5">
          <a:extLst>
            <a:ext uri="{FF2B5EF4-FFF2-40B4-BE49-F238E27FC236}">
              <a16:creationId xmlns:a16="http://schemas.microsoft.com/office/drawing/2014/main" id="{E10C10FD-00EF-A046-874E-7A04F26ECFA0}"/>
            </a:ext>
          </a:extLst>
        </xdr:cNvPr>
        <xdr:cNvPicPr>
          <a:picLocks noChangeAspect="1"/>
        </xdr:cNvPicPr>
      </xdr:nvPicPr>
      <xdr:blipFill>
        <a:blip xmlns:r="http://schemas.openxmlformats.org/officeDocument/2006/relationships" r:embed="rId7"/>
        <a:stretch>
          <a:fillRect/>
        </a:stretch>
      </xdr:blipFill>
      <xdr:spPr>
        <a:xfrm>
          <a:off x="1132751" y="13012376"/>
          <a:ext cx="5807687" cy="30132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805089</xdr:colOff>
      <xdr:row>37</xdr:row>
      <xdr:rowOff>113846</xdr:rowOff>
    </xdr:from>
    <xdr:to>
      <xdr:col>11</xdr:col>
      <xdr:colOff>516164</xdr:colOff>
      <xdr:row>67</xdr:row>
      <xdr:rowOff>28121</xdr:rowOff>
    </xdr:to>
    <xdr:graphicFrame macro="">
      <xdr:nvGraphicFramePr>
        <xdr:cNvPr id="6"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648707</xdr:colOff>
      <xdr:row>20</xdr:row>
      <xdr:rowOff>54127</xdr:rowOff>
    </xdr:from>
    <xdr:to>
      <xdr:col>16</xdr:col>
      <xdr:colOff>124983</xdr:colOff>
      <xdr:row>32</xdr:row>
      <xdr:rowOff>123977</xdr:rowOff>
    </xdr:to>
    <xdr:graphicFrame macro="">
      <xdr:nvGraphicFramePr>
        <xdr:cNvPr id="28"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9525</xdr:colOff>
      <xdr:row>17</xdr:row>
      <xdr:rowOff>9525</xdr:rowOff>
    </xdr:from>
    <xdr:to>
      <xdr:col>11</xdr:col>
      <xdr:colOff>200025</xdr:colOff>
      <xdr:row>21</xdr:row>
      <xdr:rowOff>57150</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17</xdr:row>
      <xdr:rowOff>76200</xdr:rowOff>
    </xdr:from>
    <xdr:to>
      <xdr:col>13</xdr:col>
      <xdr:colOff>923925</xdr:colOff>
      <xdr:row>21</xdr:row>
      <xdr:rowOff>34925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47625</xdr:colOff>
      <xdr:row>2</xdr:row>
      <xdr:rowOff>161925</xdr:rowOff>
    </xdr:from>
    <xdr:to>
      <xdr:col>19</xdr:col>
      <xdr:colOff>1066800</xdr:colOff>
      <xdr:row>21</xdr:row>
      <xdr:rowOff>47625</xdr:rowOff>
    </xdr:to>
    <xdr:graphicFrame macro="">
      <xdr:nvGraphicFramePr>
        <xdr:cNvPr id="2" name="Chart 7">
          <a:extLst>
            <a:ext uri="{FF2B5EF4-FFF2-40B4-BE49-F238E27FC236}">
              <a16:creationId xmlns:a16="http://schemas.microsoft.com/office/drawing/2014/main" id="{D3465FAB-23C1-F37A-3B00-34C245892750}"/>
            </a:ext>
            <a:ext uri="{147F2762-F138-4A5C-976F-8EAC2B608ADB}">
              <a16:predDERef xmlns:a16="http://schemas.microsoft.com/office/drawing/2014/main" pred="{D1AAE182-763F-462A-9659-6C77C4F76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6</xdr:col>
      <xdr:colOff>0</xdr:colOff>
      <xdr:row>18</xdr:row>
      <xdr:rowOff>0</xdr:rowOff>
    </xdr:from>
    <xdr:ext cx="304800" cy="306171"/>
    <xdr:sp macro="" textlink="">
      <xdr:nvSpPr>
        <xdr:cNvPr id="24" name="AutoShape 233" descr="Resultado de imagen para beer consumption trend">
          <a:extLst>
            <a:ext uri="{FF2B5EF4-FFF2-40B4-BE49-F238E27FC236}">
              <a16:creationId xmlns:a16="http://schemas.microsoft.com/office/drawing/2014/main" id="{FA8DA7D4-91C3-0C44-8632-383F8AB153F1}"/>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9398000" y="2302933"/>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1207"/>
    <xdr:sp macro="" textlink="">
      <xdr:nvSpPr>
        <xdr:cNvPr id="25" name="AutoShape 233" descr="Resultado de imagen para beer consumption trend">
          <a:extLst>
            <a:ext uri="{FF2B5EF4-FFF2-40B4-BE49-F238E27FC236}">
              <a16:creationId xmlns:a16="http://schemas.microsoft.com/office/drawing/2014/main" id="{7D680BA5-85FF-8441-8D51-CA76C17979D7}"/>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9398000" y="2302933"/>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0</xdr:row>
      <xdr:rowOff>0</xdr:rowOff>
    </xdr:from>
    <xdr:ext cx="304800" cy="304800"/>
    <xdr:sp macro="" textlink="">
      <xdr:nvSpPr>
        <xdr:cNvPr id="1504" name="AutoShape 1" descr="Pilgrim's Pride Logo Vector Logo - Download Free SVG Icon | Worldvectorlogo">
          <a:extLst>
            <a:ext uri="{FF2B5EF4-FFF2-40B4-BE49-F238E27FC236}">
              <a16:creationId xmlns:a16="http://schemas.microsoft.com/office/drawing/2014/main" id="{1F484FA0-EAC3-A74F-98CE-BA3B241388BA}"/>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169333"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503" name="AutoShape 1" descr="Pilgrim's Pride Logo Vector Logo - Download Free SVG Icon | Worldvectorlogo">
          <a:extLst>
            <a:ext uri="{FF2B5EF4-FFF2-40B4-BE49-F238E27FC236}">
              <a16:creationId xmlns:a16="http://schemas.microsoft.com/office/drawing/2014/main" id="{057782BC-5DD0-8048-AB99-BE6251DE8CE2}"/>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169333"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18</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D8C9DF03-DA08-4863-A26C-FDC75B601502}"/>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F7AFE3D-6EE3-477E-BF50-626D16901589}"/>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6171"/>
    <xdr:sp macro="" textlink="">
      <xdr:nvSpPr>
        <xdr:cNvPr id="8" name="AutoShape 233" descr="Resultado de imagen para beer consumption trend">
          <a:extLst>
            <a:ext uri="{FF2B5EF4-FFF2-40B4-BE49-F238E27FC236}">
              <a16:creationId xmlns:a16="http://schemas.microsoft.com/office/drawing/2014/main" id="{95C6B25A-8596-4ABD-AC75-60E41803D40C}"/>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7CB644A-C72E-410A-A774-B414C3629665}"/>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915E61C7-2171-488F-8F0A-761586D1E368}"/>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1207"/>
    <xdr:sp macro="" textlink="">
      <xdr:nvSpPr>
        <xdr:cNvPr id="38" name="AutoShape 233" descr="Resultado de imagen para beer consumption trend">
          <a:extLst>
            <a:ext uri="{FF2B5EF4-FFF2-40B4-BE49-F238E27FC236}">
              <a16:creationId xmlns:a16="http://schemas.microsoft.com/office/drawing/2014/main" id="{C8C94D2A-7BA8-439B-9B5E-C6AF4CDB3023}"/>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0</xdr:row>
      <xdr:rowOff>0</xdr:rowOff>
    </xdr:from>
    <xdr:ext cx="304800" cy="304800"/>
    <xdr:sp macro="" textlink="">
      <xdr:nvSpPr>
        <xdr:cNvPr id="1506" name="AutoShape 1" descr="Pilgrim's Pride Logo Vector Logo - Download Free SVG Icon | Worldvectorlogo">
          <a:extLst>
            <a:ext uri="{FF2B5EF4-FFF2-40B4-BE49-F238E27FC236}">
              <a16:creationId xmlns:a16="http://schemas.microsoft.com/office/drawing/2014/main" id="{FC049891-2D85-48FA-BFED-467BB4923281}"/>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24</xdr:col>
      <xdr:colOff>0</xdr:colOff>
      <xdr:row>0</xdr:row>
      <xdr:rowOff>0</xdr:rowOff>
    </xdr:from>
    <xdr:to>
      <xdr:col>24</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1DBF6760-6CA6-42F1-A073-22F220F23BDF}"/>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0</xdr:row>
      <xdr:rowOff>0</xdr:rowOff>
    </xdr:from>
    <xdr:ext cx="304800" cy="304800"/>
    <xdr:sp macro="" textlink="">
      <xdr:nvSpPr>
        <xdr:cNvPr id="1505" name="AutoShape 1" descr="Pilgrim's Pride Logo Vector Logo - Download Free SVG Icon | Worldvectorlogo">
          <a:extLst>
            <a:ext uri="{FF2B5EF4-FFF2-40B4-BE49-F238E27FC236}">
              <a16:creationId xmlns:a16="http://schemas.microsoft.com/office/drawing/2014/main" id="{767F86A5-0936-4013-AEE3-9110DC0FC3C6}"/>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18</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B1E619D7-412F-414B-A5D4-9A0E21BBA939}"/>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B74D170-E6E8-470A-9801-3D68BC0CB5AF}"/>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FD744A21-B4FB-4607-A092-536B05DFCD96}"/>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7C8EDBC0-F902-4BA6-98B9-9EA1A713070C}"/>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3E764D9C-5554-40B8-BB30-00320572AF54}"/>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88156D4E-2C43-49C6-87C0-841E5708809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35CC89AD-BD6E-4996-8A2A-B74F4FC8B037}"/>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225EEE83-9DC8-4E68-BCE0-8915C5FDC753}"/>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33BD7492-7FD0-49C7-B9B6-8D6416AF52EB}"/>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92A7679-008F-44AA-B377-CFF8F78C52CC}"/>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F9BFD5E4-6430-4A57-BA5C-452AA1185D6E}"/>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1CFF9D02-18D2-4666-9D9F-EDBD513B56AD}"/>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D574E466-EF19-4AAA-B0F9-215A47A140FB}"/>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E6AF3547-11DC-4531-8A3C-049B26E5309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D98E2B33-DA07-4B0E-B215-B8E03DF546B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67998A09-ACB4-41BD-AA83-86AB4AA6D8CB}"/>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2D7D8238-3BCF-4653-ACA9-5C09A0A3A469}"/>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5BED5983-2082-4FB4-9D13-5C051C89595A}"/>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68FB8A10-3B5A-4E91-B2E4-951DFB44222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AB4894ED-05C5-425B-BD0C-FE1769D4B92B}"/>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AA6CF309-B24C-4FAC-A31B-A185A0BA276A}"/>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79BB585B-1768-4866-97DF-520A84C990C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A76D0278-CA0F-4F58-A7E7-4A2D0CB819BA}"/>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C5812F1C-0B96-452B-B188-F1BD0DD60FAF}"/>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3B3BB98E-453E-42AE-91A1-6910D265F1C1}"/>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B762A3DC-990B-40CD-ACCD-B6E84F39EDEF}"/>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1FC50CEC-9BA5-4DB9-A053-050227108D4C}"/>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8" name="AutoShape 232" descr="Resultado de imagen para beer consumption trend">
          <a:extLst>
            <a:ext uri="{FF2B5EF4-FFF2-40B4-BE49-F238E27FC236}">
              <a16:creationId xmlns:a16="http://schemas.microsoft.com/office/drawing/2014/main" id="{73A174AE-F196-43B6-B33F-AE251C210FFE}"/>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2A20EF7-E9F4-4648-A9DC-B9D147176B04}"/>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3ED10B6F-8A0C-44B8-9978-680E6F17FB65}"/>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F004E243-F461-4E6E-8A12-4265190758FB}"/>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FBF804EE-814A-4039-9909-23C5879F4D2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999F8A09-15A0-4B22-876B-694CC2485B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B3A80241-FC17-469E-9232-FCF5FFCFDE57}"/>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47BB418A-1085-4AE3-A2A4-C05210E1DB8B}"/>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450A0AAB-9C64-4D39-B37C-8A369C4F973A}"/>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170365</xdr:colOff>
      <xdr:row>123</xdr:row>
      <xdr:rowOff>108414</xdr:rowOff>
    </xdr:from>
    <xdr:to>
      <xdr:col>14</xdr:col>
      <xdr:colOff>16282</xdr:colOff>
      <xdr:row>147</xdr:row>
      <xdr:rowOff>72600</xdr:rowOff>
    </xdr:to>
    <xdr:pic>
      <xdr:nvPicPr>
        <xdr:cNvPr id="4" name="Picture 5">
          <a:extLst>
            <a:ext uri="{FF2B5EF4-FFF2-40B4-BE49-F238E27FC236}">
              <a16:creationId xmlns:a16="http://schemas.microsoft.com/office/drawing/2014/main" id="{9DA76DD3-60AB-1037-F1F2-43799CA56D6B}"/>
            </a:ext>
          </a:extLst>
        </xdr:cNvPr>
        <xdr:cNvPicPr>
          <a:picLocks noChangeAspect="1"/>
        </xdr:cNvPicPr>
      </xdr:nvPicPr>
      <xdr:blipFill>
        <a:blip xmlns:r="http://schemas.openxmlformats.org/officeDocument/2006/relationships" r:embed="rId1"/>
        <a:stretch>
          <a:fillRect/>
        </a:stretch>
      </xdr:blipFill>
      <xdr:spPr>
        <a:xfrm>
          <a:off x="170365" y="21112260"/>
          <a:ext cx="7791558" cy="42626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301423</xdr:colOff>
      <xdr:row>6</xdr:row>
      <xdr:rowOff>2530</xdr:rowOff>
    </xdr:from>
    <xdr:to>
      <xdr:col>22</xdr:col>
      <xdr:colOff>602848</xdr:colOff>
      <xdr:row>32</xdr:row>
      <xdr:rowOff>95250</xdr:rowOff>
    </xdr:to>
    <mc:AlternateContent xmlns:mc="http://schemas.openxmlformats.org/markup-compatibility/2006">
      <mc:Choice xmlns:cx1="http://schemas.microsoft.com/office/drawing/2015/9/8/chartex" Requires="cx1">
        <xdr:graphicFrame macro="">
          <xdr:nvGraphicFramePr>
            <xdr:cNvPr id="16" name="Chart 2">
              <a:extLst>
                <a:ext uri="{FF2B5EF4-FFF2-40B4-BE49-F238E27FC236}">
                  <a16:creationId xmlns:a16="http://schemas.microsoft.com/office/drawing/2014/main" i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twoCellAnchor>
    <xdr:from>
      <xdr:col>6</xdr:col>
      <xdr:colOff>575324</xdr:colOff>
      <xdr:row>32</xdr:row>
      <xdr:rowOff>127918</xdr:rowOff>
    </xdr:from>
    <xdr:to>
      <xdr:col>18</xdr:col>
      <xdr:colOff>443734</xdr:colOff>
      <xdr:row>59</xdr:row>
      <xdr:rowOff>45903</xdr:rowOff>
    </xdr:to>
    <mc:AlternateContent xmlns:mc="http://schemas.openxmlformats.org/markup-compatibility/2006">
      <mc:Choice xmlns:cx1="http://schemas.microsoft.com/office/drawing/2015/9/8/chartex" Requires="cx1">
        <xdr:graphicFrame macro="">
          <xdr:nvGraphicFramePr>
            <xdr:cNvPr id="6" name="Chart 3">
              <a:extLst>
                <a:ext uri="{FF2B5EF4-FFF2-40B4-BE49-F238E27FC236}">
                  <a16:creationId xmlns:a16="http://schemas.microsoft.com/office/drawing/2014/main" id="{A29ECE2C-1B0E-CCB4-9D4E-1C08A5B2E7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361950</xdr:colOff>
      <xdr:row>12</xdr:row>
      <xdr:rowOff>95250</xdr:rowOff>
    </xdr:to>
    <xdr:pic>
      <xdr:nvPicPr>
        <xdr:cNvPr id="7" name="Picture 2">
          <a:extLst>
            <a:ext uri="{FF2B5EF4-FFF2-40B4-BE49-F238E27FC236}">
              <a16:creationId xmlns:a16="http://schemas.microsoft.com/office/drawing/2014/main" id="{165651B9-2139-1A67-40A7-6EB858D80BDE}"/>
            </a:ext>
            <a:ext uri="{147F2762-F138-4A5C-976F-8EAC2B608ADB}">
              <a16:predDERef xmlns:a16="http://schemas.microsoft.com/office/drawing/2014/main" pred="{96418BCF-4A00-6403-1343-9C9061CCDC35}"/>
            </a:ext>
          </a:extLst>
        </xdr:cNvPr>
        <xdr:cNvPicPr>
          <a:picLocks noChangeAspect="1"/>
        </xdr:cNvPicPr>
      </xdr:nvPicPr>
      <xdr:blipFill>
        <a:blip xmlns:r="http://schemas.openxmlformats.org/officeDocument/2006/relationships" r:embed="rId1"/>
        <a:stretch>
          <a:fillRect/>
        </a:stretch>
      </xdr:blipFill>
      <xdr:spPr>
        <a:xfrm>
          <a:off x="0" y="0"/>
          <a:ext cx="9810750" cy="22288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79375</xdr:colOff>
      <xdr:row>731</xdr:row>
      <xdr:rowOff>63500</xdr:rowOff>
    </xdr:from>
    <xdr:to>
      <xdr:col>20</xdr:col>
      <xdr:colOff>523874</xdr:colOff>
      <xdr:row>764</xdr:row>
      <xdr:rowOff>15875</xdr:rowOff>
    </xdr:to>
    <xdr:graphicFrame macro="">
      <xdr:nvGraphicFramePr>
        <xdr:cNvPr id="5" name="Chart 4">
          <a:extLst>
            <a:ext uri="{FF2B5EF4-FFF2-40B4-BE49-F238E27FC236}">
              <a16:creationId xmlns:a16="http://schemas.microsoft.com/office/drawing/2014/main" id="{0EC70758-28F6-E541-384C-DF3EF9935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447675</xdr:colOff>
      <xdr:row>3</xdr:row>
      <xdr:rowOff>114300</xdr:rowOff>
    </xdr:from>
    <xdr:to>
      <xdr:col>12</xdr:col>
      <xdr:colOff>285750</xdr:colOff>
      <xdr:row>22</xdr:row>
      <xdr:rowOff>155575</xdr:rowOff>
    </xdr:to>
    <xdr:pic>
      <xdr:nvPicPr>
        <xdr:cNvPr id="5" name="Picture 1">
          <a:extLst>
            <a:ext uri="{FF2B5EF4-FFF2-40B4-BE49-F238E27FC236}">
              <a16:creationId xmlns:a16="http://schemas.microsoft.com/office/drawing/2014/main" id="{C3549981-2F5C-F032-5FBB-8290584DB816}"/>
            </a:ext>
          </a:extLst>
        </xdr:cNvPr>
        <xdr:cNvPicPr>
          <a:picLocks noChangeAspect="1"/>
        </xdr:cNvPicPr>
      </xdr:nvPicPr>
      <xdr:blipFill>
        <a:blip xmlns:r="http://schemas.openxmlformats.org/officeDocument/2006/relationships" r:embed="rId1"/>
        <a:stretch>
          <a:fillRect/>
        </a:stretch>
      </xdr:blipFill>
      <xdr:spPr>
        <a:xfrm>
          <a:off x="447675" y="733425"/>
          <a:ext cx="9820275" cy="3419475"/>
        </a:xfrm>
        <a:prstGeom prst="rect">
          <a:avLst/>
        </a:prstGeom>
      </xdr:spPr>
    </xdr:pic>
    <xdr:clientData/>
  </xdr:twoCellAnchor>
  <xdr:twoCellAnchor editAs="oneCell">
    <xdr:from>
      <xdr:col>0</xdr:col>
      <xdr:colOff>428625</xdr:colOff>
      <xdr:row>22</xdr:row>
      <xdr:rowOff>133350</xdr:rowOff>
    </xdr:from>
    <xdr:to>
      <xdr:col>9</xdr:col>
      <xdr:colOff>609600</xdr:colOff>
      <xdr:row>47</xdr:row>
      <xdr:rowOff>79375</xdr:rowOff>
    </xdr:to>
    <xdr:pic>
      <xdr:nvPicPr>
        <xdr:cNvPr id="12" name="Picture 3">
          <a:extLst>
            <a:ext uri="{FF2B5EF4-FFF2-40B4-BE49-F238E27FC236}">
              <a16:creationId xmlns:a16="http://schemas.microsoft.com/office/drawing/2014/main" id="{692A3621-AA95-C1E0-3471-4D4F6F649CC9}"/>
            </a:ext>
            <a:ext uri="{147F2762-F138-4A5C-976F-8EAC2B608ADB}">
              <a16:predDERef xmlns:a16="http://schemas.microsoft.com/office/drawing/2014/main" pred="{C3549981-2F5C-F032-5FBB-8290584DB816}"/>
            </a:ext>
          </a:extLst>
        </xdr:cNvPr>
        <xdr:cNvPicPr>
          <a:picLocks noChangeAspect="1"/>
        </xdr:cNvPicPr>
      </xdr:nvPicPr>
      <xdr:blipFill>
        <a:blip xmlns:r="http://schemas.openxmlformats.org/officeDocument/2006/relationships" r:embed="rId2"/>
        <a:stretch>
          <a:fillRect/>
        </a:stretch>
      </xdr:blipFill>
      <xdr:spPr>
        <a:xfrm>
          <a:off x="428625" y="4191000"/>
          <a:ext cx="7686675" cy="4391025"/>
        </a:xfrm>
        <a:prstGeom prst="rect">
          <a:avLst/>
        </a:prstGeom>
      </xdr:spPr>
    </xdr:pic>
    <xdr:clientData/>
  </xdr:twoCellAnchor>
  <xdr:twoCellAnchor editAs="oneCell">
    <xdr:from>
      <xdr:col>0</xdr:col>
      <xdr:colOff>419100</xdr:colOff>
      <xdr:row>47</xdr:row>
      <xdr:rowOff>57150</xdr:rowOff>
    </xdr:from>
    <xdr:to>
      <xdr:col>9</xdr:col>
      <xdr:colOff>800100</xdr:colOff>
      <xdr:row>79</xdr:row>
      <xdr:rowOff>92075</xdr:rowOff>
    </xdr:to>
    <xdr:pic>
      <xdr:nvPicPr>
        <xdr:cNvPr id="19" name="Picture 4">
          <a:extLst>
            <a:ext uri="{FF2B5EF4-FFF2-40B4-BE49-F238E27FC236}">
              <a16:creationId xmlns:a16="http://schemas.microsoft.com/office/drawing/2014/main" id="{01A6686F-ED8F-0398-FABF-5B358339E6BB}"/>
            </a:ext>
            <a:ext uri="{147F2762-F138-4A5C-976F-8EAC2B608ADB}">
              <a16:predDERef xmlns:a16="http://schemas.microsoft.com/office/drawing/2014/main" pred="{692A3621-AA95-C1E0-3471-4D4F6F649CC9}"/>
            </a:ext>
          </a:extLst>
        </xdr:cNvPr>
        <xdr:cNvPicPr>
          <a:picLocks noChangeAspect="1"/>
        </xdr:cNvPicPr>
      </xdr:nvPicPr>
      <xdr:blipFill>
        <a:blip xmlns:r="http://schemas.openxmlformats.org/officeDocument/2006/relationships" r:embed="rId3"/>
        <a:stretch>
          <a:fillRect/>
        </a:stretch>
      </xdr:blipFill>
      <xdr:spPr>
        <a:xfrm>
          <a:off x="419100" y="8639175"/>
          <a:ext cx="7886700" cy="5724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aul Vasconcelos da Silva" id="{8FC7388A-B149-40B4-B48E-70DCA56CA41C}" userId="S::raul.vasconcelos@aln.iseg.ulisboa.pt::f4a05a0d-064a-4000-bf4d-254a683f4a3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3">
  <a r="1">
    <v t="i">0</v>
  </a>
  <a r="1">
    <v>20</v>
  </a>
  <a r="1">
    <v>17.98</v>
  </a>
  <a r="1">
    <v>9.61</v>
  </a>
  <a r="1">
    <v>41.77</v>
  </a>
  <a r="1">
    <v>16.7</v>
  </a>
  <a r="1">
    <v>17.7</v>
  </a>
  <a r="1">
    <v>12.39</v>
  </a>
  <a r="1">
    <v>3.54</v>
  </a>
  <a r="1">
    <v>18.754999999999999</v>
  </a>
  <a r="1">
    <v>43.1</v>
  </a>
  <a r="1">
    <v>47.05</v>
  </a>
  <a r="1">
    <v>41.03</v>
  </a>
</arrayData>
</file>

<file path=xl/richData/rdrichvalue.xml><?xml version="1.0" encoding="utf-8"?>
<rvData xmlns="http://schemas.microsoft.com/office/spreadsheetml/2017/richdata" count="26">
  <rv s="0">
    <v>https://www.bing.com/financeapi/forcetrigger?t=bxb5m7&amp;q=XNYS%3aIONQ&amp;form=skydnc</v>
    <v>Learn more on Bing</v>
  </rv>
  <rv s="1">
    <v>en-US</v>
    <v>bxb5m7</v>
    <v>268435456</v>
    <v>1</v>
    <v>Powered by Refinitiv</v>
    <v>0</v>
    <v>IONQ, INC. (XNYS:IONQ)</v>
    <v>2</v>
    <v>3</v>
    <v>Finance</v>
    <v>4</v>
    <v>56.07</v>
    <v>7.0911999999999997</v>
    <v>2.5362</v>
    <v>7.9580000000000002</v>
    <v>0.16913900000000001</v>
    <v>USD</v>
    <v>IonQ, Inc. is engaged in the quantum computing and networking industry, delivering high-performance systems capable of solving complex commercial and research use cases. Its generation quantum computers, IonQ Forte and IonQ Forte Enterprise, are cutting-edge systems, boasting 36 algorithmic qubits. It sells specialized quantum computing and networking hardware together with related maintenance and support. It also sells access to several quantum computers of various qubit capacities and is in the process of researching and developing technologies for quantum computers with increasing computational capabilities. It makes access to its quantum computers available via three cloud platforms, Amazon Web Services' (AWS) Amazon Braket, Microsoft's Azure Quantum and Google's Cloud Marketplace, and also to select customers via its own cloud service. Its product portfolio also includes quantum key distribution (QKD) systems, quantum random number generators (QRNGs), and single-photon detectors.</v>
    <v>407</v>
    <v>New York Stock Exchange</v>
    <v>XNYS</v>
    <v>XNYS</v>
    <v>4505 Campus Drive, Suite 100, COLLEGE PARK, MD, 20740 US</v>
    <v>56.07</v>
    <v>Software &amp; IT Services</v>
    <v>Stock</v>
    <v>45912.824617291408</v>
    <v>0</v>
    <v>47.15</v>
    <v>16374913459</v>
    <v>IONQ, INC.</v>
    <v>IONQ, INC.</v>
    <v>47.3</v>
    <v>0</v>
    <v>47.05</v>
    <v>55.008000000000003</v>
    <v>297682400</v>
    <v>IONQ</v>
    <v>IONQ, INC. (XNYS:IONQ)</v>
    <v>59394064</v>
    <v>16199374</v>
    <v>2020</v>
  </rv>
  <rv s="2">
    <v>1</v>
  </rv>
  <rv s="0">
    <v>https://www.bing.com/financeapi/forcetrigger?t=c1uvkr&amp;q=XNAS%3aRGTI&amp;form=skydnc</v>
    <v>Learn more on Bing</v>
  </rv>
  <rv s="1">
    <v>en-GB</v>
    <v>c1uvkr</v>
    <v>268435456</v>
    <v>1</v>
    <v>Powered by Refinitiv</v>
    <v>0</v>
    <v>RIGETTI COMPUTING, INC (XNAS:RGTI)</v>
    <v>2</v>
    <v>3</v>
    <v>Finance</v>
    <v>4</v>
    <v>21.42</v>
    <v>0.71</v>
    <v>1.4372</v>
    <v>2.645</v>
    <v>0.15847800000000001</v>
    <v>USD</v>
    <v>Rigetti Computing, Inc. is a full-stack quantum computing company. The Company operates quantum computers over the cloud and serves global enterprise, government, and research clients through its Rigetti Quantum Cloud Services platform. The Company’s quantum-classical infrastructure provides high-performance integration with public and private clouds for practical quantum computing. It has developed a multi-chip quantum processor for scalable quantum computing systems. Through the Company’s Quantum Computing as a Service (QCaaS) platform, its machines can be integrated into any public, private or hybrid cloud. It is also engaged in the sale of quantum processing units (QPUs) and custom computing components, and development contracts and other services. Its QPUs contain fabricated silicon-based chips featuring superconducting qubits. The Company designs and manufactures its chips in-house at Fab-1, an integrated quantum device manufacturing facility.</v>
    <v>137</v>
    <v>Nasdaq Stock Market</v>
    <v>XNAS</v>
    <v>XNAS</v>
    <v>775 Heinz Avenue, BERKELEY, CA, 94710 US</v>
    <v>20.125</v>
    <v>Semiconductors &amp; Semiconductor Equipment</v>
    <v>Stock</v>
    <v>45912.824589351563</v>
    <v>3</v>
    <v>16.66</v>
    <v>6267734142</v>
    <v>RIGETTI COMPUTING, INC</v>
    <v>RIGETTI COMPUTING, INC</v>
    <v>16.8</v>
    <v>0</v>
    <v>16.690000000000001</v>
    <v>19.335000000000001</v>
    <v>324165200</v>
    <v>RGTI</v>
    <v>RIGETTI COMPUTING, INC (XNAS:RGTI)</v>
    <v>103604050</v>
    <v>39221640</v>
    <v>2022</v>
  </rv>
  <rv s="2">
    <v>4</v>
  </rv>
  <rv s="0">
    <v>https://www.bing.com/financeapi/forcetrigger?t=bx3ch7&amp;q=XNYS%3aXPOA&amp;form=skydnc</v>
    <v>Learn more on Bing</v>
  </rv>
  <rv s="1">
    <v>en-GB</v>
    <v>bx3ch7</v>
    <v>268435456</v>
    <v>1</v>
    <v>Powered by Refinitiv</v>
    <v>0</v>
    <v>D-WAVE QUANTUM INC. (XNYS:QBTS)</v>
    <v>2</v>
    <v>3</v>
    <v>Finance</v>
    <v>4</v>
    <v>20.56</v>
    <v>0.87239999999999995</v>
    <v>1.3794999999999999</v>
    <v>1.3</v>
    <v>7.8691999999999998E-2</v>
    <v>USD</v>
    <v>D-Wave Quantum Inc. is a quantum computing company, which is engaged in the development and delivery of quantum computing systems, software, and services. The Company builds and delivers systems, cloud services, application development tools, and professional services to support the end-to-end quantum computing journey for enterprises and developers. The Company's products include Cloud Platform, Systems, Professional Services, and others. Under its Cloud Platform, the Leap quantum cloud service delivers immediate, real-time access to its quantum computers and hybrid solvers services. Under its Systems, the Advantage quantum system is a quantum computer designed for business. It also offers quantum applications to a range of customers, including resource scheduling, factory scheduling, industrial construction design, drug discovery, and others. It offers solutions across workforce scheduling, production scheduling, vehicle routing, resource optimization, and cargo loading.</v>
    <v>220</v>
    <v>New York Stock Exchange</v>
    <v>XNYS</v>
    <v>XNYS</v>
    <v>3033 Beta Avenue, BURNABY, BC, V5G 4M9 CA</v>
    <v>17.98</v>
    <v>Software &amp; IT Services</v>
    <v>Stock</v>
    <v>45912.82459024297</v>
    <v>6</v>
    <v>16.54</v>
    <v>6094766106</v>
    <v>D-WAVE QUANTUM INC.</v>
    <v>D-WAVE QUANTUM INC.</v>
    <v>16.690000000000001</v>
    <v>0</v>
    <v>16.52</v>
    <v>17.82</v>
    <v>342018300</v>
    <v>QBTS</v>
    <v>D-WAVE QUANTUM INC. (XNYS:QBTS)</v>
    <v>53592837</v>
    <v>34653101</v>
    <v>2022</v>
  </rv>
  <rv s="2">
    <v>7</v>
  </rv>
  <rv s="0">
    <v>https://www.bing.com/financeapi/forcetrigger?t=bgr8c7&amp;q=XNAS%3aQUBT&amp;form=skydnc</v>
    <v>Learn more on Bing</v>
  </rv>
  <rv s="1">
    <v>en-GB</v>
    <v>bgr8c7</v>
    <v>268435456</v>
    <v>1</v>
    <v>Powered by Refinitiv</v>
    <v>0</v>
    <v>QUANTUM COMPUTING INC. (XNAS:QUBT)</v>
    <v>2</v>
    <v>3</v>
    <v>Finance</v>
    <v>4</v>
    <v>27.15</v>
    <v>0.6391</v>
    <v>3.8584000000000001</v>
    <v>1.105</v>
    <v>6.9541000000000006E-2</v>
    <v>USD</v>
    <v>Quantum Computing Inc. is an integrated quantum optics and nanophotonic technology company. The Company is utilizing integrated photonics and non-linear quantum optics to develop and deliver machines for quantum computing, reservoir computing, and remote sensing, imaging and cybersecurity applications. Its products are designed to operate at room temperature and low power. Its Entropy Quantum Computer is a full-stack system, incorporating the Company’s custom user interface software Qatalyst, which allows users to avoid the complexity of software development kits at the circuit level and has evolved from the Company’s primary Software as a Service offering to the software that powers its offerings. Its Reservoir Computer is a device that uses an integrated circuit that can be reprogrammed after manufacturing and optimized for recurrent neural network applications. Its Quantum Photonic Vibrometer is a proprietary, instrument for remote vibration detection, sensing, and inspection.</v>
    <v>41</v>
    <v>Nasdaq Stock Market</v>
    <v>XNAS</v>
    <v>XNAS</v>
    <v>5 MARINE VIEW PLZ, SUITE 214, HOBOKEN, NJ, 07030 US</v>
    <v>17.260000000000002</v>
    <v>Software &amp; IT Services</v>
    <v>Stock</v>
    <v>45912.824618483595</v>
    <v>9</v>
    <v>15.8581</v>
    <v>2717214984</v>
    <v>QUANTUM COMPUTING INC.</v>
    <v>QUANTUM COMPUTING INC.</v>
    <v>16</v>
    <v>0</v>
    <v>15.89</v>
    <v>16.995000000000001</v>
    <v>159883200</v>
    <v>QUBT</v>
    <v>QUANTUM COMPUTING INC. (XNAS:QUBT)</v>
    <v>27009967</v>
    <v>15394361</v>
    <v>2018</v>
  </rv>
  <rv s="2">
    <v>10</v>
  </rv>
  <rv s="3">
    <v>2</v>
    <v>11</v>
  </rv>
  <rv s="4">
    <v>2</v>
    <v>1</v>
  </rv>
  <rv s="5">
    <v>5</v>
    <v>RGTI</v>
    <v>Daily</v>
    <v>45659</v>
    <v>45659</v>
    <v>0</v>
    <v>1</v>
    <v>638713728000000000,638795641022409583,0</v>
    <v>0</v>
    <v>c1uvkr</v>
    <v>XNAS:RGTI</v>
    <v>1</v>
  </rv>
  <rv s="5">
    <v>5</v>
    <v>RGTI</v>
    <v>Daily</v>
    <v>45883</v>
    <v>45883</v>
    <v>0</v>
    <v>1</v>
    <v>638907264000000000,638933026187352209,0</v>
    <v>0</v>
    <v>c1uvkr</v>
    <v>XNAS:RGTI</v>
    <v>2</v>
  </rv>
  <rv s="5">
    <v>5</v>
    <v>QBTS</v>
    <v>Daily</v>
    <v>45659</v>
    <v>45659</v>
    <v>0</v>
    <v>1</v>
    <v>638713728000000000,638833496033841279,0</v>
    <v>0</v>
    <v>bx3ch7</v>
    <v>XNYS:QBTS</v>
    <v>3</v>
  </rv>
  <rv s="5">
    <v>5</v>
    <v>bxb5m7</v>
    <v>Daily</v>
    <v>45657</v>
    <v>45657</v>
    <v>0</v>
    <v>1</v>
    <v>638712000000000000,638804178925484468,0</v>
    <v>0</v>
    <v>bxb5m7</v>
    <v>XNYS:IONQ</v>
    <v>4</v>
  </rv>
  <rv s="5">
    <v>5</v>
    <v>bxb5m7</v>
    <v>Daily</v>
    <v>44561</v>
    <v>44561</v>
    <v>0</v>
    <v>1</v>
    <v>637765056000000000,638804178927014808,0</v>
    <v>0</v>
    <v>bxb5m7</v>
    <v>XNYS:IONQ</v>
    <v>5</v>
  </rv>
  <rv s="5">
    <v>5</v>
    <v>bxb5m7</v>
    <v>Daily</v>
    <v>44559</v>
    <v>44559</v>
    <v>0</v>
    <v>1</v>
    <v>637763328000000000,638804178944635582,0</v>
    <v>0</v>
    <v>bxb5m7</v>
    <v>XNYS:IONQ</v>
    <v>6</v>
  </rv>
  <rv s="5">
    <v>5</v>
    <v>bxb5m7</v>
    <v>Daily</v>
    <v>45289</v>
    <v>45289</v>
    <v>0</v>
    <v>1</v>
    <v>638394048000000000,638804178945595782,0</v>
    <v>0</v>
    <v>bxb5m7</v>
    <v>XNYS:IONQ</v>
    <v>7</v>
  </rv>
  <rv s="5">
    <v>5</v>
    <v>bxb5m7</v>
    <v>Daily</v>
    <v>44924</v>
    <v>44924</v>
    <v>0</v>
    <v>1</v>
    <v>638078688000000000,638804178938387330,0</v>
    <v>0</v>
    <v>bxb5m7</v>
    <v>XNYS:IONQ</v>
    <v>8</v>
  </rv>
  <rv s="5">
    <v>5</v>
    <v>QUBT</v>
    <v>Daily</v>
    <v>45659</v>
    <v>45659</v>
    <v>0</v>
    <v>1</v>
    <v>638713728000000000,638803286540444903,0</v>
    <v>0</v>
    <v>bgr8c7</v>
    <v>XNAS:QUBT</v>
    <v>9</v>
  </rv>
  <rv s="5">
    <v>5</v>
    <v>IONQ</v>
    <v>Daily</v>
    <v>45659</v>
    <v>45659</v>
    <v>0</v>
    <v>1</v>
    <v>638713728000000000,638833496035044300,0</v>
    <v>0</v>
    <v>bxb5m7</v>
    <v>XNYS:IONQ</v>
    <v>10</v>
  </rv>
  <rv s="5">
    <v>5</v>
    <v>IONQ</v>
    <v>Daily</v>
    <v>45911</v>
    <v>45911</v>
    <v>0</v>
    <v>1</v>
    <v>638931456000000000,638933026187387917,0</v>
    <v>0</v>
    <v>bxb5m7</v>
    <v>XNYS:IONQ</v>
    <v>11</v>
  </rv>
  <rv s="5">
    <v>5</v>
    <v>IONQ</v>
    <v>Daily</v>
    <v>45883</v>
    <v>45883</v>
    <v>0</v>
    <v>1</v>
    <v>638907264000000000,638933026187427543,0</v>
    <v>0</v>
    <v>bxb5m7</v>
    <v>XNYS:IONQ</v>
    <v>12</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error">
    <k n="errorType" t="i"/>
    <k n="subType" t="i"/>
  </s>
  <s t="_error">
    <k n="errorType" t="i"/>
    <k n="propagated" t="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6">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10</v>
      <v>1</v>
    </spb>
  </spbData>
</supportingPropertyBags>
</file>

<file path=xl/richData/rdsupportingpropertybagstructure.xml><?xml version="1.0" encoding="utf-8"?>
<spbStructures xmlns="http://schemas.microsoft.com/office/spreadsheetml/2017/richdata2" count="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9" formatCode="m/d/yyyy"/>
    </x:dxf>
    <x:dxf>
      <x:numFmt numFmtId="2" formatCode="0.00"/>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0">
      <rpv i="0">_([$$-en-US]* #,##0.00_);_([$$-en-US]* (#,##0.00);_([$$-en-US]* "-"??_);_(@_)</rpv>
    </rSty>
    <rSty dxfid="6">
      <rpv i="0">#,##0.00</rpv>
    </rSty>
    <rSty>
      <rpv i="1">1</rpv>
    </rSty>
    <rSty dxfid="5">
      <rpv i="0">#,##0</rpv>
    </rSty>
    <rSty dxfid="4"/>
    <rSty dxfid="0">
      <rpv i="0">_([$$-en-US]* #,##0_);_([$$-en-US]* (#,##0);_([$$-en-US]* "-"_);_(@_)</rpv>
    </rSty>
    <rSty dxfid="3"/>
    <rSty dxfid="7">
      <rpv i="0">0</rpv>
    </rSty>
    <rSty dxfid="2">
      <rpv i="0">0.00</rpv>
    </rSty>
    <rSty dxfid="1"/>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4" dT="2025-02-26T18:55:21.53" personId="{8FC7388A-B149-40B4-B48E-70DCA56CA41C}" id="{CB5C8E83-E3D0-4441-B6E0-D862C650B5F5}">
    <text>Chipotle does not have any Intangibles in its Balance Sheet, except for Goodwill. Hence Depreciation and Amortization are forecasted only as % of PP&amp;E.</text>
  </threadedComment>
  <threadedComment ref="B137" dT="2025-02-26T18:54:39.98" personId="{8FC7388A-B149-40B4-B48E-70DCA56CA41C}" id="{CE396053-595E-4126-9C71-0875E5897884}">
    <text xml:space="preserve">Forecasted based on net number of stores opening </text>
  </threadedComment>
  <threadedComment ref="B155" dT="2025-02-26T17:14:37.81" personId="{8FC7388A-B149-40B4-B48E-70DCA56CA41C}" id="{E2CDF95A-7B2F-4661-BCB3-C007122C6CFD}">
    <text>Payment for Right of Use Assets are recognized as occupancy costs under SG&amp;A expenses.</text>
  </threadedComment>
  <threadedComment ref="B158" dT="2025-02-26T17:14:37.81" personId="{8FC7388A-B149-40B4-B48E-70DCA56CA41C}" id="{CD092673-94DE-4108-B6AF-FC73424C056A}">
    <text>Payment for Right of Use Assets are recognized as occupancy costs under SG&amp;A expenses.</text>
  </threadedComment>
  <threadedComment ref="B160" dT="2025-02-26T17:14:37.81" personId="{8FC7388A-B149-40B4-B48E-70DCA56CA41C}" id="{62E50C66-BA1C-4031-B660-F25771E0B7AB}">
    <text>Payment for Right of Use Assets are recognized as occupancy costs under SG&amp;A expenses.</text>
  </threadedComment>
  <threadedComment ref="B167" dT="2025-02-26T17:14:37.81" personId="{8FC7388A-B149-40B4-B48E-70DCA56CA41C}" id="{9EF6C6D7-5E70-49FE-A672-ED08A0372EC5}">
    <text>Payment for Right of Use Assets are recognized as occupancy costs under SG&amp;A expenses.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l.63835@aln.iseg.ulisboa.pt" TargetMode="External"/><Relationship Id="rId2" Type="http://schemas.openxmlformats.org/officeDocument/2006/relationships/hyperlink" Target="mailto:l64181@aln.iseg.ulisboa.pt" TargetMode="External"/><Relationship Id="rId1" Type="http://schemas.openxmlformats.org/officeDocument/2006/relationships/hyperlink" Target="mailto:joaodesousaeiro@aln.iseg.ulisboa.pt" TargetMode="External"/><Relationship Id="rId5" Type="http://schemas.openxmlformats.org/officeDocument/2006/relationships/drawing" Target="../drawings/drawing1.xml"/><Relationship Id="rId4" Type="http://schemas.openxmlformats.org/officeDocument/2006/relationships/hyperlink" Target="mailto:cristina.lin@aln.iseg.ulisboa.p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ec.gov/Archives/edgar/data/1824920/000119312524114115/d104516ddef14a.htm" TargetMode="External"/><Relationship Id="rId1" Type="http://schemas.openxmlformats.org/officeDocument/2006/relationships/hyperlink" Target="https://www.sec.gov/ix?doc=/Archives/edgar/data/1824920/000095017025027722/ionq-20241231.htm"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314"/>
  </sheetPr>
  <dimension ref="A1:AI1048576"/>
  <sheetViews>
    <sheetView showGridLines="0" tabSelected="1" zoomScale="90" zoomScaleNormal="90" workbookViewId="0">
      <selection activeCell="D11" sqref="D11"/>
    </sheetView>
  </sheetViews>
  <sheetFormatPr defaultColWidth="15.625" defaultRowHeight="14.25"/>
  <cols>
    <col min="1" max="1" width="11.625" style="540" customWidth="1"/>
    <col min="2" max="2" width="0.625" style="538" customWidth="1"/>
    <col min="3" max="3" width="2.5" style="536" customWidth="1"/>
    <col min="4" max="4" width="11.875" style="536" customWidth="1"/>
    <col min="5" max="5" width="13.375" style="536" customWidth="1"/>
    <col min="6" max="9" width="12.625" style="536" customWidth="1"/>
    <col min="10" max="10" width="4" style="536" customWidth="1"/>
    <col min="11" max="12" width="12.625" style="536" customWidth="1"/>
    <col min="13" max="13" width="3.625" style="536" customWidth="1"/>
    <col min="14" max="18" width="12.625" style="536" customWidth="1"/>
    <col min="19" max="19" width="3.875" style="592" customWidth="1"/>
    <col min="20" max="20" width="4" style="536" customWidth="1"/>
    <col min="21" max="21" width="34" style="536" customWidth="1"/>
    <col min="22" max="22" width="9.875" style="536" customWidth="1"/>
    <col min="23" max="23" width="15.625" style="536"/>
    <col min="24" max="24" width="17" style="536" bestFit="1" customWidth="1"/>
    <col min="25" max="30" width="15.625" style="536"/>
    <col min="31" max="31" width="29.625" style="536" customWidth="1"/>
    <col min="32" max="16384" width="15.625" style="536"/>
  </cols>
  <sheetData>
    <row r="1" spans="1:30" ht="24.75" customHeight="1">
      <c r="A1" s="655"/>
      <c r="B1" s="656"/>
      <c r="C1" s="420"/>
      <c r="D1" s="420"/>
      <c r="E1" s="420"/>
      <c r="F1" s="420"/>
      <c r="G1" s="420"/>
      <c r="H1" s="420"/>
      <c r="I1" s="420"/>
      <c r="J1" s="420"/>
      <c r="K1" s="420"/>
      <c r="L1" s="420"/>
      <c r="M1" s="420"/>
      <c r="N1" s="420"/>
      <c r="O1" s="420"/>
      <c r="P1" s="420"/>
      <c r="Q1" s="420"/>
      <c r="R1" s="420"/>
      <c r="S1" s="420"/>
      <c r="T1" s="420"/>
      <c r="U1" s="420"/>
      <c r="V1" s="420"/>
      <c r="W1" s="420"/>
      <c r="X1" s="420"/>
      <c r="Y1" s="420"/>
      <c r="Z1" s="420"/>
      <c r="AA1" s="420"/>
      <c r="AB1" s="420"/>
      <c r="AC1" s="420"/>
      <c r="AD1" s="420"/>
    </row>
    <row r="2" spans="1:30" ht="24" customHeight="1">
      <c r="A2" s="655"/>
      <c r="B2" s="656"/>
      <c r="C2" s="420"/>
      <c r="D2" s="420"/>
      <c r="E2" s="686" t="s">
        <v>0</v>
      </c>
      <c r="F2" s="420"/>
      <c r="G2" s="420"/>
      <c r="H2" s="420"/>
      <c r="I2" s="420"/>
      <c r="J2" s="420"/>
      <c r="K2" s="420"/>
      <c r="L2" s="420"/>
      <c r="M2" s="420"/>
      <c r="N2" s="420"/>
      <c r="O2" s="420"/>
      <c r="P2" s="420"/>
      <c r="Q2" s="420"/>
      <c r="R2" s="420"/>
      <c r="S2" s="420"/>
      <c r="T2" s="420"/>
      <c r="U2" s="610" t="s">
        <v>1</v>
      </c>
      <c r="V2" s="420"/>
      <c r="W2" s="420"/>
      <c r="X2" s="420"/>
      <c r="Y2" s="420"/>
      <c r="Z2" s="420"/>
      <c r="AA2" s="420"/>
      <c r="AB2" s="420"/>
      <c r="AC2" s="420"/>
      <c r="AD2" s="420"/>
    </row>
    <row r="3" spans="1:30">
      <c r="A3" s="655"/>
      <c r="B3" s="656"/>
      <c r="C3" s="420"/>
      <c r="D3" s="420"/>
      <c r="E3" s="420"/>
      <c r="F3" s="420"/>
      <c r="G3" s="420"/>
      <c r="H3" s="420"/>
      <c r="I3" s="420"/>
      <c r="J3" s="420"/>
      <c r="K3" s="420"/>
      <c r="L3" s="420"/>
      <c r="M3" s="420"/>
      <c r="N3" s="420"/>
      <c r="O3" s="420"/>
      <c r="P3" s="420"/>
      <c r="Q3" s="420"/>
      <c r="R3" s="420"/>
      <c r="S3" s="420"/>
      <c r="T3" s="420"/>
      <c r="U3" s="598" t="s">
        <v>2</v>
      </c>
      <c r="V3" s="420"/>
      <c r="W3" s="420"/>
      <c r="X3" s="420"/>
      <c r="Y3" s="420"/>
      <c r="Z3" s="420"/>
      <c r="AA3" s="420"/>
      <c r="AB3" s="420"/>
      <c r="AC3" s="420"/>
      <c r="AD3" s="420"/>
    </row>
    <row r="4" spans="1:30">
      <c r="A4" s="655"/>
      <c r="B4" s="656"/>
      <c r="C4" s="420"/>
      <c r="D4" s="420"/>
      <c r="E4" s="420"/>
      <c r="F4" s="420"/>
      <c r="G4" s="420"/>
      <c r="H4" s="420"/>
      <c r="I4" s="420"/>
      <c r="J4" s="420"/>
      <c r="K4" s="420"/>
      <c r="L4" s="420"/>
      <c r="M4" s="420"/>
      <c r="N4" s="420"/>
      <c r="O4" s="420"/>
      <c r="P4" s="420"/>
      <c r="Q4" s="420"/>
      <c r="R4" s="420"/>
      <c r="S4" s="420"/>
      <c r="T4" s="420"/>
      <c r="U4" s="598"/>
      <c r="V4" s="420"/>
      <c r="W4" s="420"/>
      <c r="X4" s="420"/>
      <c r="Y4" s="420"/>
      <c r="Z4" s="420"/>
      <c r="AA4" s="420"/>
      <c r="AB4" s="420"/>
      <c r="AC4" s="420"/>
      <c r="AD4" s="420"/>
    </row>
    <row r="5" spans="1:30">
      <c r="A5" s="655"/>
      <c r="B5" s="656"/>
      <c r="C5" s="420"/>
      <c r="D5" s="420"/>
      <c r="E5" s="420"/>
      <c r="F5" s="420"/>
      <c r="G5" s="420"/>
      <c r="H5" s="420"/>
      <c r="I5"/>
      <c r="J5" s="420"/>
      <c r="K5" s="420"/>
      <c r="L5" s="420"/>
      <c r="M5" s="420"/>
      <c r="N5" s="420"/>
      <c r="O5" s="420"/>
      <c r="P5" s="420"/>
      <c r="Q5" s="420"/>
      <c r="R5" s="420"/>
      <c r="S5" s="420"/>
      <c r="T5" s="420"/>
      <c r="U5" s="420"/>
      <c r="V5" s="420"/>
      <c r="W5" s="420"/>
      <c r="X5" s="420"/>
      <c r="Y5" s="420"/>
      <c r="Z5" s="420"/>
      <c r="AA5" s="420"/>
      <c r="AB5" s="420"/>
      <c r="AC5" s="420"/>
      <c r="AD5" s="420"/>
    </row>
    <row r="6" spans="1:30" s="537" customFormat="1" ht="15.95" customHeight="1">
      <c r="A6" s="541"/>
      <c r="B6" s="542"/>
      <c r="D6" s="544" t="str" cm="1">
        <f t="array" aca="1" ref="D6" ca="1">+_FV(DCF!AA4,"Name")</f>
        <v>IONQ, INC.</v>
      </c>
      <c r="S6" s="657"/>
      <c r="U6" s="597" t="s">
        <v>3</v>
      </c>
    </row>
    <row r="7" spans="1:30" ht="3.75" customHeight="1">
      <c r="A7" s="655"/>
      <c r="B7" s="656"/>
      <c r="C7" s="420"/>
      <c r="D7" s="420"/>
      <c r="E7" s="420"/>
      <c r="F7" s="420"/>
      <c r="G7" s="420"/>
      <c r="H7" s="420"/>
      <c r="I7" s="420"/>
      <c r="J7" s="420"/>
      <c r="K7" s="420"/>
      <c r="L7" s="420"/>
      <c r="M7" s="420"/>
      <c r="N7" s="420"/>
      <c r="O7" s="420"/>
      <c r="P7" s="420"/>
      <c r="Q7" s="420"/>
      <c r="R7" s="420"/>
      <c r="S7" s="657"/>
      <c r="T7" s="420"/>
      <c r="U7" s="537"/>
      <c r="V7" s="420"/>
      <c r="W7" s="420"/>
      <c r="X7" s="420"/>
      <c r="Y7" s="420"/>
      <c r="Z7" s="420"/>
      <c r="AA7" s="420"/>
      <c r="AB7" s="420"/>
      <c r="AC7" s="420"/>
      <c r="AD7" s="420"/>
    </row>
    <row r="8" spans="1:30" ht="14.25" customHeight="1">
      <c r="A8" s="655"/>
      <c r="B8" s="656"/>
      <c r="C8" s="420"/>
      <c r="D8" s="864" t="s">
        <v>4</v>
      </c>
      <c r="E8" s="864"/>
      <c r="F8" s="864"/>
      <c r="G8" s="864"/>
      <c r="H8" s="864"/>
      <c r="I8" s="864"/>
      <c r="J8" s="864"/>
      <c r="K8" s="864"/>
      <c r="L8" s="864"/>
      <c r="M8" s="864"/>
      <c r="N8" s="864"/>
      <c r="O8" s="864"/>
      <c r="P8" s="864"/>
      <c r="Q8" s="864"/>
      <c r="R8" s="864"/>
      <c r="S8" s="658"/>
      <c r="T8" s="420"/>
      <c r="U8" s="659" t="s">
        <v>5</v>
      </c>
      <c r="V8" s="420"/>
      <c r="W8" s="420"/>
      <c r="X8" s="420"/>
      <c r="Y8" s="420"/>
      <c r="Z8" s="420"/>
      <c r="AA8" s="420"/>
      <c r="AB8" s="420"/>
      <c r="AC8" s="420"/>
      <c r="AD8" s="420"/>
    </row>
    <row r="9" spans="1:30" ht="14.25" customHeight="1">
      <c r="A9" s="655"/>
      <c r="B9" s="656"/>
      <c r="C9" s="420"/>
      <c r="D9" s="864"/>
      <c r="E9" s="864"/>
      <c r="F9" s="864"/>
      <c r="G9" s="864"/>
      <c r="H9" s="864"/>
      <c r="I9" s="864"/>
      <c r="J9" s="864"/>
      <c r="K9" s="864"/>
      <c r="L9" s="864"/>
      <c r="M9" s="864"/>
      <c r="N9" s="864"/>
      <c r="O9" s="864"/>
      <c r="P9" s="864"/>
      <c r="Q9" s="864"/>
      <c r="R9" s="864"/>
      <c r="S9" s="658"/>
      <c r="T9" s="420"/>
      <c r="U9" s="543" t="str" cm="1">
        <f t="array" aca="1" ref="U9" ca="1">+"Price (22 Apr 25): $"&amp;_FV(DCF!$AA$4,"Price")</f>
        <v>Price (22 Apr 25): $55.008</v>
      </c>
      <c r="V9" s="420"/>
      <c r="W9" s="420"/>
      <c r="X9" s="420"/>
      <c r="Y9" s="420"/>
      <c r="Z9" s="420"/>
      <c r="AA9" s="420"/>
      <c r="AB9" s="420"/>
      <c r="AC9" s="420"/>
      <c r="AD9" s="420"/>
    </row>
    <row r="10" spans="1:30" ht="20.100000000000001" customHeight="1">
      <c r="A10" s="655"/>
      <c r="B10" s="656"/>
      <c r="C10" s="420"/>
      <c r="D10" s="544" t="s">
        <v>6</v>
      </c>
      <c r="E10" s="660"/>
      <c r="F10" s="660"/>
      <c r="G10" s="660"/>
      <c r="H10" s="660"/>
      <c r="I10" s="660"/>
      <c r="J10" s="660"/>
      <c r="K10" s="660"/>
      <c r="L10" s="660"/>
      <c r="M10" s="660"/>
      <c r="N10" s="660"/>
      <c r="O10" s="660"/>
      <c r="P10" s="660"/>
      <c r="Q10" s="660"/>
      <c r="R10" s="660"/>
      <c r="S10" s="661"/>
      <c r="T10" s="420"/>
      <c r="U10" s="1" t="str">
        <f ca="1">"Price Target: $" &amp; ROUND(IF(Summary!G25="FCFF",DCF!Z210,IF(Summary!G25="FCFE",DCF!AA253,IF(Summary!G25="Tax Shield",DCF!AA226,DCF!Q269))),2) &amp;" "&amp;IF(Summary!G25="FCFF","(FCFF)",IF(Summary!G25="FCFE","(FCFE)",IF(Summary!G25="Tax Shield","(APV)","(DDM)")))</f>
        <v>Price Target: $13.35 (FCFF)</v>
      </c>
      <c r="V10" s="420"/>
      <c r="W10" s="420"/>
      <c r="X10" s="420"/>
      <c r="Y10" s="420"/>
      <c r="Z10" s="420"/>
      <c r="AA10" s="420"/>
      <c r="AB10" s="420"/>
      <c r="AC10" s="420"/>
      <c r="AD10" s="420"/>
    </row>
    <row r="11" spans="1:30" ht="14.25" customHeight="1">
      <c r="A11" s="655"/>
      <c r="B11" s="656"/>
      <c r="C11" s="420"/>
      <c r="D11" s="864" t="s">
        <v>7</v>
      </c>
      <c r="E11" s="864"/>
      <c r="F11" s="864"/>
      <c r="G11" s="864"/>
      <c r="H11" s="864"/>
      <c r="I11" s="864"/>
      <c r="J11" s="864"/>
      <c r="K11" s="864"/>
      <c r="L11" s="864"/>
      <c r="M11" s="864"/>
      <c r="N11" s="864"/>
      <c r="O11" s="864"/>
      <c r="P11" s="864"/>
      <c r="Q11" s="864"/>
      <c r="R11" s="864"/>
      <c r="S11" s="658"/>
      <c r="T11" s="420"/>
      <c r="U11" s="543" t="str">
        <f ca="1">+"Upside (Downside): "&amp;ROUND((DCF!$Z$213*100),2)&amp;"%"</f>
        <v>Upside (Downside): -75.73%</v>
      </c>
      <c r="V11" s="420"/>
      <c r="W11" s="420"/>
      <c r="X11" s="420"/>
      <c r="Y11" s="420"/>
      <c r="Z11" s="420"/>
      <c r="AA11" s="420"/>
      <c r="AB11" s="420"/>
      <c r="AC11" s="420"/>
      <c r="AD11" s="420"/>
    </row>
    <row r="12" spans="1:30" ht="3.75" customHeight="1">
      <c r="A12" s="655"/>
      <c r="B12" s="656"/>
      <c r="C12" s="420"/>
      <c r="D12" s="864"/>
      <c r="E12" s="864"/>
      <c r="F12" s="864"/>
      <c r="G12" s="864"/>
      <c r="H12" s="864"/>
      <c r="I12" s="864"/>
      <c r="J12" s="864"/>
      <c r="K12" s="864"/>
      <c r="L12" s="864"/>
      <c r="M12" s="864"/>
      <c r="N12" s="864"/>
      <c r="O12" s="864"/>
      <c r="P12" s="864"/>
      <c r="Q12" s="864"/>
      <c r="R12" s="864"/>
      <c r="S12" s="658"/>
      <c r="T12" s="420"/>
      <c r="U12" s="420"/>
      <c r="V12" s="420"/>
      <c r="W12" s="420"/>
      <c r="X12" s="420"/>
      <c r="Y12" s="420"/>
      <c r="Z12" s="420"/>
      <c r="AA12" s="420"/>
      <c r="AB12" s="420"/>
      <c r="AC12" s="420"/>
      <c r="AD12" s="420"/>
    </row>
    <row r="13" spans="1:30" ht="17.25" customHeight="1">
      <c r="A13" s="655"/>
      <c r="B13" s="656"/>
      <c r="C13" s="420"/>
      <c r="D13" s="864"/>
      <c r="E13" s="864"/>
      <c r="F13" s="864"/>
      <c r="G13" s="864"/>
      <c r="H13" s="864"/>
      <c r="I13" s="864"/>
      <c r="J13" s="864"/>
      <c r="K13" s="864"/>
      <c r="L13" s="864"/>
      <c r="M13" s="864"/>
      <c r="N13" s="864"/>
      <c r="O13" s="864"/>
      <c r="P13" s="864"/>
      <c r="Q13" s="864"/>
      <c r="R13" s="864"/>
      <c r="S13" s="658"/>
      <c r="T13" s="420"/>
      <c r="U13" s="420"/>
      <c r="V13" s="420"/>
      <c r="W13" s="420"/>
      <c r="X13" s="420"/>
      <c r="Y13" s="420"/>
      <c r="Z13" s="420"/>
      <c r="AA13" s="420"/>
      <c r="AB13" s="420"/>
      <c r="AC13" s="420"/>
      <c r="AD13" s="420"/>
    </row>
    <row r="14" spans="1:30" ht="15" customHeight="1">
      <c r="A14" s="655"/>
      <c r="B14" s="656"/>
      <c r="C14" s="420"/>
      <c r="D14" s="864"/>
      <c r="E14" s="864"/>
      <c r="F14" s="864"/>
      <c r="G14" s="864"/>
      <c r="H14" s="864"/>
      <c r="I14" s="864"/>
      <c r="J14" s="864"/>
      <c r="K14" s="864"/>
      <c r="L14" s="864"/>
      <c r="M14" s="864"/>
      <c r="N14" s="864"/>
      <c r="O14" s="864"/>
      <c r="P14" s="864"/>
      <c r="Q14" s="864"/>
      <c r="R14" s="864"/>
      <c r="S14" s="658"/>
      <c r="T14" s="420"/>
      <c r="U14" s="662"/>
      <c r="V14" s="656"/>
      <c r="W14" s="420"/>
      <c r="X14" s="420"/>
      <c r="Y14" s="420"/>
      <c r="Z14" s="420"/>
      <c r="AA14" s="420"/>
      <c r="AB14" s="420"/>
      <c r="AC14" s="420"/>
      <c r="AD14" s="420"/>
    </row>
    <row r="15" spans="1:30" ht="66" customHeight="1">
      <c r="A15" s="655"/>
      <c r="B15" s="656"/>
      <c r="C15" s="420"/>
      <c r="D15" s="864"/>
      <c r="E15" s="864"/>
      <c r="F15" s="864"/>
      <c r="G15" s="864"/>
      <c r="H15" s="864"/>
      <c r="I15" s="864"/>
      <c r="J15" s="864"/>
      <c r="K15" s="864"/>
      <c r="L15" s="864"/>
      <c r="M15" s="864"/>
      <c r="N15" s="864"/>
      <c r="O15" s="864"/>
      <c r="P15" s="864"/>
      <c r="Q15" s="864"/>
      <c r="R15" s="864"/>
      <c r="S15" s="658"/>
      <c r="T15" s="420"/>
      <c r="U15" s="662">
        <f>+ESG!C10</f>
        <v>0</v>
      </c>
      <c r="V15" s="656"/>
      <c r="W15" s="420"/>
      <c r="X15" s="420"/>
      <c r="Y15"/>
      <c r="Z15"/>
      <c r="AA15"/>
      <c r="AB15"/>
      <c r="AC15"/>
      <c r="AD15"/>
    </row>
    <row r="16" spans="1:30" ht="3.75" customHeight="1">
      <c r="A16" s="655"/>
      <c r="B16" s="656"/>
      <c r="C16" s="420"/>
      <c r="D16" s="420"/>
      <c r="E16" s="1"/>
      <c r="F16" s="420"/>
      <c r="G16" s="420"/>
      <c r="H16" s="420"/>
      <c r="I16" s="420"/>
      <c r="J16" s="420"/>
      <c r="K16" s="420"/>
      <c r="L16" s="420"/>
      <c r="M16" s="420"/>
      <c r="N16" s="420"/>
      <c r="O16" s="420"/>
      <c r="P16" s="420"/>
      <c r="Q16" s="420"/>
      <c r="R16" s="420"/>
      <c r="S16" s="657"/>
      <c r="T16" s="420"/>
      <c r="U16" s="663"/>
      <c r="V16" s="420"/>
      <c r="W16" s="420"/>
      <c r="X16" s="420"/>
      <c r="Y16"/>
      <c r="Z16"/>
      <c r="AA16"/>
      <c r="AB16"/>
      <c r="AC16"/>
      <c r="AD16"/>
    </row>
    <row r="17" spans="4:30" ht="14.25" customHeight="1">
      <c r="D17" s="670"/>
      <c r="E17" s="671" t="s">
        <v>8</v>
      </c>
      <c r="F17" s="672"/>
      <c r="G17" s="672"/>
      <c r="H17" s="799"/>
      <c r="I17" s="799"/>
      <c r="J17" s="420"/>
      <c r="K17" s="7" t="s">
        <v>9</v>
      </c>
      <c r="L17" s="4"/>
      <c r="M17" s="4"/>
      <c r="N17" s="4">
        <v>2022</v>
      </c>
      <c r="O17" s="4">
        <f>+N17+1</f>
        <v>2023</v>
      </c>
      <c r="P17" s="323">
        <f>+O17+1</f>
        <v>2024</v>
      </c>
      <c r="Q17" s="5">
        <f>+P17+1</f>
        <v>2025</v>
      </c>
      <c r="R17" s="5">
        <f>+Q17+1</f>
        <v>2026</v>
      </c>
      <c r="S17" s="593"/>
      <c r="T17" s="420"/>
      <c r="U17" s="15" t="s">
        <v>10</v>
      </c>
      <c r="V17" s="420"/>
      <c r="W17" s="420"/>
      <c r="X17" s="420"/>
      <c r="Y17"/>
      <c r="Z17"/>
      <c r="AA17"/>
      <c r="AB17"/>
      <c r="AC17"/>
      <c r="AD17"/>
    </row>
    <row r="18" spans="4:30" ht="15">
      <c r="D18" s="9"/>
      <c r="E18" s="800"/>
      <c r="F18" s="669"/>
      <c r="G18" s="669"/>
      <c r="H18" s="801"/>
      <c r="I18" s="801"/>
      <c r="J18" s="420"/>
      <c r="K18" s="10" t="s">
        <v>11</v>
      </c>
      <c r="L18"/>
      <c r="M18"/>
      <c r="N18" s="348">
        <f ca="1">IFERROR(_xlfn.XLOOKUP($K18,Multiples!$B:$B,Multiples!N:N),"")</f>
        <v>31.282787170963978</v>
      </c>
      <c r="O18" s="348">
        <f ca="1">IFERROR(_xlfn.XLOOKUP($K18,Multiples!$B:$B,Multiples!O:O),"")</f>
        <v>98.112096679067236</v>
      </c>
      <c r="P18" s="324">
        <f ca="1">IFERROR(_xlfn.XLOOKUP($K18,Multiples!$B:$B,Multiples!P:P),"")</f>
        <v>199.09627929329281</v>
      </c>
      <c r="Q18" s="331">
        <f ca="1">IFERROR(_xlfn.XLOOKUP($K18,Multiples!$B:$B,Multiples!Q:Q),"")</f>
        <v>-27.061042409673121</v>
      </c>
      <c r="R18" s="331">
        <f ca="1">IFERROR(_xlfn.XLOOKUP($K18,Multiples!$B:$B,Multiples!R:R),"")</f>
        <v>-17.209963258666306</v>
      </c>
      <c r="S18" s="594"/>
      <c r="T18" s="420"/>
      <c r="U18" s="764" t="s">
        <v>12</v>
      </c>
      <c r="V18" s="420"/>
      <c r="W18" s="420"/>
      <c r="X18" s="420"/>
      <c r="Y18"/>
      <c r="Z18"/>
      <c r="AA18"/>
      <c r="AB18"/>
      <c r="AC18"/>
      <c r="AD18"/>
    </row>
    <row r="19" spans="4:30" ht="15">
      <c r="D19" s="9"/>
      <c r="E19" s="800"/>
      <c r="F19" s="669"/>
      <c r="G19" s="669"/>
      <c r="H19" s="801"/>
      <c r="I19" s="801"/>
      <c r="J19" s="420"/>
      <c r="K19" s="13" t="s">
        <v>13</v>
      </c>
      <c r="L19"/>
      <c r="M19"/>
      <c r="N19" s="348">
        <f ca="1">IFERROR(_xlfn.XLOOKUP($K19,Multiples!$B:$B,Multiples!N:N),"")</f>
        <v>62.883451980954092</v>
      </c>
      <c r="O19" s="348">
        <f ca="1">IFERROR(_xlfn.XLOOKUP($K19,Multiples!$B:$B,Multiples!O:O),"")</f>
        <v>113.87001338354051</v>
      </c>
      <c r="P19" s="324">
        <f ca="1">IFERROR(_xlfn.XLOOKUP($K19,Multiples!$B:$B,Multiples!P:P),"")</f>
        <v>206.58505416386137</v>
      </c>
      <c r="Q19" s="331">
        <f ca="1">IFERROR(_xlfn.XLOOKUP($K19,Multiples!$B:$B,Multiples!Q:Q),"")</f>
        <v>-29.825628780410174</v>
      </c>
      <c r="R19" s="331">
        <f ca="1">IFERROR(_xlfn.XLOOKUP($K19,Multiples!$B:$B,Multiples!R:R),"")</f>
        <v>-23.55035663918629</v>
      </c>
      <c r="S19" s="594"/>
      <c r="T19" s="420"/>
      <c r="U19" s="581" t="s">
        <v>14</v>
      </c>
      <c r="V19" s="420"/>
      <c r="W19" s="420"/>
      <c r="X19" s="420"/>
      <c r="Y19"/>
      <c r="Z19"/>
      <c r="AA19"/>
      <c r="AB19"/>
      <c r="AC19"/>
      <c r="AD19"/>
    </row>
    <row r="20" spans="4:30" ht="14.25" customHeight="1">
      <c r="D20" s="9"/>
      <c r="E20" s="800"/>
      <c r="F20" s="802"/>
      <c r="G20" s="802"/>
      <c r="H20" s="803"/>
      <c r="I20" s="803"/>
      <c r="J20" s="420"/>
      <c r="K20" s="14" t="s">
        <v>15</v>
      </c>
      <c r="L20"/>
      <c r="M20"/>
      <c r="N20" s="348">
        <f ca="1">IFERROR(_xlfn.XLOOKUP($K20,Multiples!$B:$B,Multiples!N:N),"")</f>
        <v>-4.3448966085198775</v>
      </c>
      <c r="O20" s="348">
        <f ca="1">IFERROR(_xlfn.XLOOKUP($K20,Multiples!$B:$B,Multiples!O:O),"")</f>
        <v>-14.673643022411605</v>
      </c>
      <c r="P20" s="324">
        <f ca="1">IFERROR(_xlfn.XLOOKUP($K20,Multiples!$B:$B,Multiples!P:P),"")</f>
        <v>-40.110542223843673</v>
      </c>
      <c r="Q20" s="331">
        <f ca="1">IFERROR(_xlfn.XLOOKUP($K20,Multiples!$B:$B,Multiples!Q:Q),"")</f>
        <v>7.1044772585772602</v>
      </c>
      <c r="R20" s="331">
        <f ca="1">IFERROR(_xlfn.XLOOKUP($K20,Multiples!$B:$B,Multiples!R:R),"")</f>
        <v>5.9846250128996763</v>
      </c>
      <c r="S20" s="594"/>
      <c r="T20" s="420"/>
      <c r="U20" s="15" t="s">
        <v>16</v>
      </c>
      <c r="V20" s="420"/>
      <c r="W20" s="420"/>
      <c r="X20" s="420"/>
      <c r="Y20"/>
      <c r="Z20"/>
      <c r="AA20"/>
      <c r="AB20"/>
      <c r="AC20"/>
      <c r="AD20"/>
    </row>
    <row r="21" spans="4:30" ht="15">
      <c r="D21" s="9"/>
      <c r="E21" s="800"/>
      <c r="F21" s="804"/>
      <c r="G21" s="804"/>
      <c r="H21" s="805"/>
      <c r="I21" s="805"/>
      <c r="J21" s="420"/>
      <c r="K21" s="14" t="s">
        <v>17</v>
      </c>
      <c r="L21"/>
      <c r="M21"/>
      <c r="N21" s="348">
        <f ca="1">IFERROR(_xlfn.XLOOKUP($K21,Multiples!$B:$B,Multiples!N:N),"")</f>
        <v>-4.0609323350360373</v>
      </c>
      <c r="O21" s="348">
        <f ca="1">IFERROR(_xlfn.XLOOKUP($K21,Multiples!$B:$B,Multiples!O:O),"")</f>
        <v>-13.708602222447608</v>
      </c>
      <c r="P21" s="324">
        <f ca="1">IFERROR(_xlfn.XLOOKUP($K21,Multiples!$B:$B,Multiples!P:P),"")</f>
        <v>-36.891759858897423</v>
      </c>
      <c r="Q21" s="331">
        <f ca="1">IFERROR(_xlfn.XLOOKUP($K21,Multiples!$B:$B,Multiples!Q:Q),"")</f>
        <v>6.558915360356715</v>
      </c>
      <c r="R21" s="331">
        <f ca="1">IFERROR(_xlfn.XLOOKUP($K21,Multiples!$B:$B,Multiples!R:R),"")</f>
        <v>5.4442224244085988</v>
      </c>
      <c r="S21" s="594"/>
      <c r="T21" s="420"/>
      <c r="U21" s="764" t="s">
        <v>18</v>
      </c>
      <c r="V21" s="420"/>
      <c r="W21" s="420"/>
      <c r="X21" s="420"/>
      <c r="Y21"/>
      <c r="Z21"/>
      <c r="AA21"/>
      <c r="AB21"/>
      <c r="AC21"/>
      <c r="AD21"/>
    </row>
    <row r="22" spans="4:30" ht="15">
      <c r="D22" s="9"/>
      <c r="E22" s="800"/>
      <c r="F22" s="669"/>
      <c r="G22" s="669"/>
      <c r="H22" s="801"/>
      <c r="I22" s="801"/>
      <c r="J22" s="420"/>
      <c r="K22" s="13" t="s">
        <v>19</v>
      </c>
      <c r="L22"/>
      <c r="M22"/>
      <c r="N22" s="348">
        <f ca="1">IFERROR(_xlfn.XLOOKUP($K22,Multiples!$B:$B,Multiples!N:N),"")</f>
        <v>-14.428803858918597</v>
      </c>
      <c r="O22" s="348">
        <f ca="1">IFERROR(_xlfn.XLOOKUP($K22,Multiples!$B:$B,Multiples!O:O),"")</f>
        <v>-15.913481680876467</v>
      </c>
      <c r="P22" s="324">
        <f ca="1">IFERROR(_xlfn.XLOOKUP($K22,Multiples!$B:$B,Multiples!P:P),"")</f>
        <v>-26.835218568591461</v>
      </c>
      <c r="Q22" s="331">
        <f ca="1">IFERROR(_xlfn.XLOOKUP($K22,Multiples!$B:$B,Multiples!Q:Q),"")</f>
        <v>7.3033355708452969</v>
      </c>
      <c r="R22" s="331">
        <f ca="1">IFERROR(_xlfn.XLOOKUP($K22,Multiples!$B:$B,Multiples!R:R),"")</f>
        <v>6.8596672318327334</v>
      </c>
      <c r="S22" s="594"/>
      <c r="T22" s="420"/>
      <c r="U22" s="581" t="s">
        <v>20</v>
      </c>
      <c r="V22" s="420"/>
      <c r="W22" s="420"/>
      <c r="X22" s="420"/>
      <c r="Y22"/>
      <c r="Z22"/>
      <c r="AA22"/>
      <c r="AB22"/>
      <c r="AC22"/>
      <c r="AD22"/>
    </row>
    <row r="23" spans="4:30" ht="14.25" customHeight="1">
      <c r="D23" s="9"/>
      <c r="E23" s="800"/>
      <c r="F23" s="669"/>
      <c r="G23" s="669"/>
      <c r="H23" s="801"/>
      <c r="I23" s="801"/>
      <c r="J23" s="420"/>
      <c r="K23" s="14" t="s">
        <v>21</v>
      </c>
      <c r="L23"/>
      <c r="M23"/>
      <c r="N23" s="348">
        <f ca="1">IFERROR(_xlfn.XLOOKUP($K23,Multiples!$B:$B,Multiples!N:N),"")</f>
        <v>1.2318587707735331</v>
      </c>
      <c r="O23" s="348">
        <f ca="1">IFERROR(_xlfn.XLOOKUP($K23,Multiples!$B:$B,Multiples!O:O),"")</f>
        <v>5.1751626514967191</v>
      </c>
      <c r="P23" s="324">
        <f ca="1">IFERROR(_xlfn.XLOOKUP($K23,Multiples!$B:$B,Multiples!P:P),"")</f>
        <v>23.180825499788988</v>
      </c>
      <c r="Q23" s="331">
        <f ca="1">IFERROR(_xlfn.XLOOKUP($K23,Multiples!$B:$B,Multiples!Q:Q),"")</f>
        <v>-20.069771934714378</v>
      </c>
      <c r="R23" s="331">
        <f ca="1">IFERROR(_xlfn.XLOOKUP($K23,Multiples!$B:$B,Multiples!R:R),"")</f>
        <v>-490.16913305589185</v>
      </c>
      <c r="S23" s="594"/>
      <c r="T23" s="420"/>
      <c r="U23" s="15" t="s">
        <v>22</v>
      </c>
      <c r="V23" s="420"/>
      <c r="W23" s="420"/>
      <c r="X23" s="420"/>
      <c r="Y23"/>
      <c r="Z23"/>
      <c r="AA23"/>
      <c r="AB23"/>
      <c r="AC23"/>
      <c r="AD23"/>
    </row>
    <row r="24" spans="4:30" ht="15">
      <c r="D24"/>
      <c r="E24"/>
      <c r="F24"/>
      <c r="G24"/>
      <c r="H24"/>
      <c r="I24"/>
      <c r="J24"/>
      <c r="K24" s="14"/>
      <c r="L24"/>
      <c r="M24"/>
      <c r="N24"/>
      <c r="O24"/>
      <c r="P24"/>
      <c r="Q24"/>
      <c r="R24"/>
      <c r="S24" s="595"/>
      <c r="T24" s="420"/>
      <c r="U24" s="764" t="s">
        <v>23</v>
      </c>
      <c r="V24" s="420"/>
      <c r="W24" s="420"/>
      <c r="X24" s="420"/>
      <c r="Y24"/>
      <c r="Z24"/>
      <c r="AA24"/>
      <c r="AB24"/>
      <c r="AC24"/>
      <c r="AD24"/>
    </row>
    <row r="25" spans="4:30" ht="14.25" customHeight="1">
      <c r="D25" s="20" t="s">
        <v>24</v>
      </c>
      <c r="E25" s="545" t="s">
        <v>25</v>
      </c>
      <c r="F25" s="546" t="s">
        <v>26</v>
      </c>
      <c r="G25" s="546" t="s">
        <v>27</v>
      </c>
      <c r="H25" s="546" t="str">
        <f>+IF(Summary!$G$25="FCFF",DCF!AK6,IF(Summary!$G$25="FCFE",DCF!AL6,DCF!AM6))</f>
        <v>NOPAT</v>
      </c>
      <c r="I25" s="547" t="s">
        <v>28</v>
      </c>
      <c r="J25" s="420"/>
      <c r="K25" s="7" t="s">
        <v>29</v>
      </c>
      <c r="L25" s="4"/>
      <c r="M25" s="4"/>
      <c r="N25" s="4">
        <v>2022</v>
      </c>
      <c r="O25" s="4">
        <f>+N25+1</f>
        <v>2023</v>
      </c>
      <c r="P25" s="323">
        <f>+O25+1</f>
        <v>2024</v>
      </c>
      <c r="Q25" s="5">
        <f>+P25+1</f>
        <v>2025</v>
      </c>
      <c r="R25" s="5">
        <f>+Q25+1</f>
        <v>2026</v>
      </c>
      <c r="S25" s="593"/>
      <c r="T25" s="420"/>
      <c r="U25" s="581" t="s">
        <v>30</v>
      </c>
      <c r="V25" s="420"/>
      <c r="W25" s="420"/>
      <c r="X25" s="420"/>
      <c r="Y25"/>
      <c r="Z25"/>
      <c r="AA25"/>
      <c r="AB25"/>
      <c r="AC25"/>
      <c r="AD25"/>
    </row>
    <row r="26" spans="4:30" ht="15.75">
      <c r="D26" s="21">
        <v>2022</v>
      </c>
      <c r="E26" s="548">
        <f>+DCF!E30</f>
        <v>11131</v>
      </c>
      <c r="F26" s="549">
        <f>+DCF!E61</f>
        <v>-7.7033510017069444</v>
      </c>
      <c r="G26" s="550">
        <f ca="1">+INDEX(DCF!AG7:AJ7,MATCH(Summary!$G$25,{"FCFF","FCFE","Tax Shield","Total Payout"},0))</f>
        <v>-64536</v>
      </c>
      <c r="H26" s="550">
        <f>+IF(Summary!$G$25="FCFF",DCF!AK7,IF(Summary!$G$25="FCFE",DCF!AL7,DCF!AM7))</f>
        <v>-85746</v>
      </c>
      <c r="I26" s="551">
        <f>+DCF!E135</f>
        <v>-12564</v>
      </c>
      <c r="J26" s="420"/>
      <c r="K26" s="14" t="s">
        <v>31</v>
      </c>
      <c r="L26"/>
      <c r="M26"/>
      <c r="N26" s="348">
        <f>IFERROR(_xlfn.XLOOKUP($K26,Multiples!$B:$B,Multiples!N:N),"")</f>
        <v>-8.1123158838245321E-2</v>
      </c>
      <c r="O26" s="348">
        <f>IFERROR(_xlfn.XLOOKUP($K26,Multiples!$B:$B,Multiples!O:O),"")</f>
        <v>-0.28491464287004592</v>
      </c>
      <c r="P26" s="324">
        <f>IFERROR(_xlfn.XLOOKUP($K26,Multiples!$B:$B,Multiples!P:P),"")</f>
        <v>-0.6522342364493261</v>
      </c>
      <c r="Q26" s="331">
        <f ca="1">IFERROR(_xlfn.XLOOKUP($K26,Multiples!$B:$B,Multiples!Q:Q),"")</f>
        <v>-0.95331909240286361</v>
      </c>
      <c r="R26" s="331">
        <f ca="1">IFERROR(_xlfn.XLOOKUP($K26,Multiples!$B:$B,Multiples!R:R),"")</f>
        <v>-1.2822844075511581</v>
      </c>
      <c r="S26" s="594"/>
      <c r="T26" s="420"/>
      <c r="U26" s="15" t="s">
        <v>32</v>
      </c>
      <c r="V26" s="420"/>
      <c r="W26" s="420"/>
      <c r="X26" s="420"/>
      <c r="Y26"/>
      <c r="Z26"/>
      <c r="AA26"/>
      <c r="AB26"/>
      <c r="AC26"/>
      <c r="AD26"/>
    </row>
    <row r="27" spans="4:30" ht="14.25" customHeight="1">
      <c r="D27" s="21">
        <f t="shared" ref="D27:D33" si="0">+D26+1</f>
        <v>2023</v>
      </c>
      <c r="E27" s="552">
        <f>+DCF!F30</f>
        <v>22042</v>
      </c>
      <c r="F27" s="553">
        <f>+DCF!F61</f>
        <v>-7.1569730514472374</v>
      </c>
      <c r="G27" s="554">
        <f ca="1">+INDEX(DCF!AG8:AJ8,MATCH(Summary!$G$25,{"FCFF","FCFE","Tax Shield","Total Payout"},0))</f>
        <v>-113850.04800943425</v>
      </c>
      <c r="H27" s="555">
        <f>+IF(Summary!$G$25="FCFF",DCF!AK8,IF(Summary!$G$25="FCFE",DCF!AL8,DCF!AM8))</f>
        <v>-157754.04800943425</v>
      </c>
      <c r="I27" s="551">
        <f>+DCF!F135</f>
        <v>-19549</v>
      </c>
      <c r="J27" s="420"/>
      <c r="K27" s="14" t="s">
        <v>33</v>
      </c>
      <c r="L27"/>
      <c r="M27"/>
      <c r="N27" s="348">
        <f>IFERROR(_xlfn.XLOOKUP($K27,Multiples!$B:$B,Multiples!N:N),"")</f>
        <v>-8.5374975141276746E-2</v>
      </c>
      <c r="O27" s="348">
        <f>IFERROR(_xlfn.XLOOKUP($K27,Multiples!$B:$B,Multiples!O:O),"")</f>
        <v>-0.32520618399402879</v>
      </c>
      <c r="P27" s="324">
        <f>IFERROR(_xlfn.XLOOKUP($K27,Multiples!$B:$B,Multiples!P:P),"")</f>
        <v>-0.86382100598652645</v>
      </c>
      <c r="Q27" s="331">
        <f ca="1">IFERROR(_xlfn.XLOOKUP($K27,Multiples!$B:$B,Multiples!Q:Q),"")</f>
        <v>2.1736588416185771</v>
      </c>
      <c r="R27" s="331">
        <f ca="1">IFERROR(_xlfn.XLOOKUP($K27,Multiples!$B:$B,Multiples!R:R),"")</f>
        <v>2.9237312691576189</v>
      </c>
      <c r="S27" s="594"/>
      <c r="T27" s="420"/>
      <c r="U27" s="764" t="s">
        <v>34</v>
      </c>
      <c r="V27" s="420"/>
      <c r="W27" s="420"/>
      <c r="X27" s="420"/>
      <c r="Y27"/>
      <c r="Z27"/>
      <c r="AA27"/>
      <c r="AB27"/>
      <c r="AC27"/>
      <c r="AD27"/>
    </row>
    <row r="28" spans="4:30" ht="15">
      <c r="D28" s="371">
        <f t="shared" si="0"/>
        <v>2024</v>
      </c>
      <c r="E28" s="556">
        <f>+DCF!G30</f>
        <v>43073</v>
      </c>
      <c r="F28" s="557">
        <f>+DCF!G61</f>
        <v>-5.3967682771109509</v>
      </c>
      <c r="G28" s="558">
        <f ca="1">+INDEX(DCF!AG9:AJ9,MATCH(Summary!$G$25,{"FCFF","FCFE","Tax Shield","Total Payout"},0))</f>
        <v>-146246.04136110173</v>
      </c>
      <c r="H28" s="559">
        <f>+IF(Summary!$G$25="FCFF",DCF!AK9,IF(Summary!$G$25="FCFE",DCF!AL9,DCF!AM9))</f>
        <v>-232455.04136110173</v>
      </c>
      <c r="I28" s="583">
        <f>+DCF!G135</f>
        <v>-23569</v>
      </c>
      <c r="J28" s="420"/>
      <c r="K28" s="105" t="s">
        <v>35</v>
      </c>
      <c r="L28"/>
      <c r="M28"/>
      <c r="N28" s="348">
        <f>IFERROR(_xlfn.XLOOKUP($K28,Multiples!$B:$B,Multiples!N:N),"")</f>
        <v>-0.1498372246230304</v>
      </c>
      <c r="O28" s="348">
        <f>IFERROR(_xlfn.XLOOKUP($K28,Multiples!$B:$B,Multiples!O:O),"")</f>
        <v>-0.31992368268731886</v>
      </c>
      <c r="P28" s="324">
        <f>IFERROR(_xlfn.XLOOKUP($K28,Multiples!$B:$B,Multiples!P:P),"")</f>
        <v>-0.57884105153080589</v>
      </c>
      <c r="Q28" s="331">
        <f ca="1">IFERROR(_xlfn.XLOOKUP($K28,Multiples!$B:$B,Multiples!Q:Q),"")</f>
        <v>-1.580131268217112</v>
      </c>
      <c r="R28" s="331">
        <f ca="1">IFERROR(_xlfn.XLOOKUP($K28,Multiples!$B:$B,Multiples!R:R),"")</f>
        <v>-1.7368600819003837</v>
      </c>
      <c r="S28" s="594"/>
      <c r="T28" s="420"/>
      <c r="U28" s="745" t="s">
        <v>36</v>
      </c>
      <c r="V28" s="664"/>
      <c r="W28" s="420"/>
      <c r="X28" s="420"/>
      <c r="Y28"/>
      <c r="Z28"/>
      <c r="AA28"/>
      <c r="AB28"/>
      <c r="AC28"/>
      <c r="AD28"/>
    </row>
    <row r="29" spans="4:30" ht="15">
      <c r="D29" s="22">
        <f t="shared" si="0"/>
        <v>2025</v>
      </c>
      <c r="E29" s="560">
        <f>+DCF!H30</f>
        <v>68916.800000000003</v>
      </c>
      <c r="F29" s="561">
        <f>+DCF!H61</f>
        <v>-4.1258410762906035</v>
      </c>
      <c r="G29" s="562">
        <f ca="1">+INDEX(DCF!AG10:AJ10,MATCH(Summary!$G$25,{"FCFF","FCFE","Tax Shield","Total Payout"},0))</f>
        <v>-112020.30306147794</v>
      </c>
      <c r="H29" s="560">
        <f ca="1">+IF(Summary!$G$25="FCFF",DCF!AK10,IF(Summary!$G$25="FCFE",DCF!AL10,DCF!AM10))</f>
        <v>-224628.41378633841</v>
      </c>
      <c r="I29" s="693">
        <f>+DCF!H135</f>
        <v>-34458.400000000001</v>
      </c>
      <c r="J29" s="420"/>
      <c r="K29" s="23" t="s">
        <v>37</v>
      </c>
      <c r="L29"/>
      <c r="M29"/>
      <c r="N29" s="348">
        <f>IFERROR(_xlfn.XLOOKUP($K29,Multiples!$B:$B,Multiples!N:N),"")</f>
        <v>-7.1998921929745752</v>
      </c>
      <c r="O29" s="348">
        <f>IFERROR(_xlfn.XLOOKUP($K29,Multiples!$B:$B,Multiples!O:O),"")</f>
        <v>-6.686280736775247</v>
      </c>
      <c r="P29" s="324">
        <f>IFERROR(_xlfn.XLOOKUP($K29,Multiples!$B:$B,Multiples!P:P),"")</f>
        <v>-4.9636895502983309</v>
      </c>
      <c r="Q29" s="331">
        <f ca="1">IFERROR(_xlfn.XLOOKUP($K29,Multiples!$B:$B,Multiples!Q:Q),"")</f>
        <v>-3.8090124614027339</v>
      </c>
      <c r="R29" s="331">
        <f ca="1">IFERROR(_xlfn.XLOOKUP($K29,Multiples!$B:$B,Multiples!R:R),"")</f>
        <v>-2.8756961750436751</v>
      </c>
      <c r="S29" s="594"/>
      <c r="T29" s="420"/>
      <c r="U29" s="420"/>
      <c r="V29" s="420"/>
      <c r="W29" s="420"/>
      <c r="X29" s="420"/>
      <c r="Y29"/>
      <c r="Z29"/>
      <c r="AA29"/>
      <c r="AB29"/>
      <c r="AC29"/>
      <c r="AD29"/>
    </row>
    <row r="30" spans="4:30" ht="15">
      <c r="D30" s="22">
        <f t="shared" si="0"/>
        <v>2026</v>
      </c>
      <c r="E30" s="560">
        <f>+DCF!I30</f>
        <v>110266.88</v>
      </c>
      <c r="F30" s="561">
        <f>+DCF!I61</f>
        <v>-3.1611425685892711</v>
      </c>
      <c r="G30" s="562">
        <f ca="1">+INDEX(DCF!AG11:AJ11,MATCH(Summary!$G$25,{"FCFF","FCFE","Tax Shield","Total Payout"},0))</f>
        <v>-188326.79755000267</v>
      </c>
      <c r="H30" s="560">
        <f ca="1">+IF(Summary!$G$25="FCFF",DCF!AK11,IF(Summary!$G$25="FCFE",DCF!AL11,DCF!AM11))</f>
        <v>-275369.76933608472</v>
      </c>
      <c r="I30" s="693">
        <f>+DCF!I135</f>
        <v>-55133.440000000002</v>
      </c>
      <c r="J30" s="420"/>
      <c r="K30" s="13" t="s">
        <v>26</v>
      </c>
      <c r="L30"/>
      <c r="M30"/>
      <c r="N30" s="348">
        <f>IFERROR(_xlfn.XLOOKUP($K30,Multiples!$B:$B,Multiples!N:N),"")</f>
        <v>-7.7033510017069444</v>
      </c>
      <c r="O30" s="348">
        <f>IFERROR(_xlfn.XLOOKUP($K30,Multiples!$B:$B,Multiples!O:O),"")</f>
        <v>-7.1569730514472374</v>
      </c>
      <c r="P30" s="324">
        <f>IFERROR(_xlfn.XLOOKUP($K30,Multiples!$B:$B,Multiples!P:P),"")</f>
        <v>-5.3967682771109509</v>
      </c>
      <c r="Q30" s="331">
        <f ca="1">IFERROR(_xlfn.XLOOKUP($K30,Multiples!$B:$B,Multiples!Q:Q),"")</f>
        <v>-4.1258410762906035</v>
      </c>
      <c r="R30" s="331">
        <f ca="1">IFERROR(_xlfn.XLOOKUP($K30,Multiples!$B:$B,Multiples!R:R),"")</f>
        <v>-3.1611425685892711</v>
      </c>
      <c r="S30" s="594"/>
      <c r="T30" s="420"/>
      <c r="U30" s="685" t="s">
        <v>38</v>
      </c>
      <c r="V30" s="656"/>
      <c r="W30" s="420"/>
      <c r="X30" s="420"/>
      <c r="Y30"/>
      <c r="Z30"/>
      <c r="AA30"/>
      <c r="AB30"/>
      <c r="AC30"/>
      <c r="AD30"/>
    </row>
    <row r="31" spans="4:30" ht="14.25" customHeight="1">
      <c r="D31" s="22">
        <f t="shared" si="0"/>
        <v>2027</v>
      </c>
      <c r="E31" s="560">
        <f>+DCF!J30</f>
        <v>165400.32000000001</v>
      </c>
      <c r="F31" s="561">
        <f>+DCF!J61</f>
        <v>-2.5476658264874867</v>
      </c>
      <c r="G31" s="562">
        <f ca="1">+INDEX(DCF!AG12:AJ12,MATCH(Summary!$G$25,{"FCFF","FCFE","Tax Shield","Total Payout"},0))</f>
        <v>-232576.45004447515</v>
      </c>
      <c r="H31" s="560">
        <f ca="1">+IF(Summary!$G$25="FCFF",DCF!AK12,IF(Summary!$G$25="FCFE",DCF!AL12,DCF!AM12))</f>
        <v>-332893.94693373487</v>
      </c>
      <c r="I31" s="693">
        <f>+DCF!J135</f>
        <v>-74430.144</v>
      </c>
      <c r="J31" s="420"/>
      <c r="K31" s="13" t="s">
        <v>39</v>
      </c>
      <c r="L31"/>
      <c r="M31"/>
      <c r="N31" s="348">
        <f>IFERROR(_xlfn.XLOOKUP($K31,Multiples!$B:$B,Multiples!N:N),"")</f>
        <v>0.73551343095858412</v>
      </c>
      <c r="O31" s="348">
        <f>IFERROR(_xlfn.XLOOKUP($K31,Multiples!$B:$B,Multiples!O:O),"")</f>
        <v>0.6321567915797115</v>
      </c>
      <c r="P31" s="324">
        <f>IFERROR(_xlfn.XLOOKUP($K31,Multiples!$B:$B,Multiples!P:P),"")</f>
        <v>0.52181180786107306</v>
      </c>
      <c r="Q31" s="331">
        <f ca="1">IFERROR(_xlfn.XLOOKUP($K31,Multiples!$B:$B,Multiples!Q:Q),"")</f>
        <v>0.52181180786107306</v>
      </c>
      <c r="R31" s="331">
        <f ca="1">IFERROR(_xlfn.XLOOKUP($K31,Multiples!$B:$B,Multiples!R:R),"")</f>
        <v>0.52181180786107306</v>
      </c>
      <c r="S31" s="594"/>
      <c r="T31" s="420"/>
      <c r="U31" s="17" t="s">
        <v>40</v>
      </c>
      <c r="V31" s="26">
        <f ca="1">Peers!D74</f>
        <v>2.5362</v>
      </c>
      <c r="W31" s="420"/>
      <c r="X31" s="420"/>
      <c r="Y31"/>
      <c r="Z31"/>
      <c r="AA31"/>
      <c r="AB31"/>
      <c r="AC31"/>
      <c r="AD31"/>
    </row>
    <row r="32" spans="4:30" ht="14.25" customHeight="1">
      <c r="D32" s="22">
        <f t="shared" si="0"/>
        <v>2028</v>
      </c>
      <c r="E32" s="560">
        <f>+DCF!K30</f>
        <v>248100.48000000001</v>
      </c>
      <c r="F32" s="561">
        <f>+DCF!K61</f>
        <v>-2.0417154002128286</v>
      </c>
      <c r="G32" s="562">
        <f ca="1">+INDEX(DCF!AG13:AJ13,MATCH(Summary!$G$25,{"FCFF","FCFE","Tax Shield","Total Payout"},0))</f>
        <v>-318961.7132299731</v>
      </c>
      <c r="H32" s="560">
        <f ca="1">+IF(Summary!$G$25="FCFF",DCF!AK13,IF(Summary!$G$25="FCFE",DCF!AL13,DCF!AM13))</f>
        <v>-400174.95094479399</v>
      </c>
      <c r="I32" s="693">
        <f>+DCF!K135</f>
        <v>-111645.216</v>
      </c>
      <c r="J32" s="420"/>
      <c r="K32" s="13" t="s">
        <v>41</v>
      </c>
      <c r="L32"/>
      <c r="M32"/>
      <c r="N32" s="348">
        <f>IFERROR(_xlfn.XLOOKUP($K32,Multiples!$B:$B,Multiples!N:N),"")</f>
        <v>3.9844578205013028</v>
      </c>
      <c r="O32" s="348">
        <f>IFERROR(_xlfn.XLOOKUP($K32,Multiples!$B:$B,Multiples!O:O),"")</f>
        <v>3.13002449868433</v>
      </c>
      <c r="P32" s="324">
        <f>IFERROR(_xlfn.XLOOKUP($K32,Multiples!$B:$B,Multiples!P:P),"")</f>
        <v>2.3088709864648389</v>
      </c>
      <c r="Q32" s="331" t="str">
        <f ca="1">IFERROR(_xlfn.XLOOKUP($K32,Multiples!$B:$B,Multiples!Q:Q),"")</f>
        <v/>
      </c>
      <c r="R32" s="331" t="str">
        <f ca="1">IFERROR(_xlfn.XLOOKUP($K32,Multiples!$B:$B,Multiples!R:R),"")</f>
        <v/>
      </c>
      <c r="S32" s="594"/>
      <c r="T32" s="420"/>
      <c r="U32" s="27" t="s">
        <v>42</v>
      </c>
      <c r="V32" s="24">
        <f>+Peers!D73</f>
        <v>0.85310616208975221</v>
      </c>
      <c r="W32" s="420"/>
      <c r="X32" s="420"/>
      <c r="Y32"/>
      <c r="Z32"/>
      <c r="AA32"/>
      <c r="AB32"/>
      <c r="AC32"/>
      <c r="AD32"/>
    </row>
    <row r="33" spans="1:30" ht="14.25" customHeight="1">
      <c r="A33" s="655"/>
      <c r="B33" s="656"/>
      <c r="C33" s="420"/>
      <c r="D33" s="22">
        <f t="shared" si="0"/>
        <v>2029</v>
      </c>
      <c r="E33" s="560">
        <f>+DCF!L30</f>
        <v>372150.72000000003</v>
      </c>
      <c r="F33" s="561">
        <f>+DCF!L61</f>
        <v>-1.52251636293526</v>
      </c>
      <c r="G33" s="562">
        <f ca="1">+INDEX(DCF!AG14:AJ14,MATCH(Summary!$G$25,{"FCFF","FCFE","Tax Shield","Total Payout"},0))</f>
        <v>-376231.76193911082</v>
      </c>
      <c r="H33" s="560">
        <f ca="1">+IF(Summary!$G$25="FCFF",DCF!AK14,IF(Summary!$G$25="FCFE",DCF!AL14,DCF!AM14))</f>
        <v>-447618.39293572935</v>
      </c>
      <c r="I33" s="693">
        <f>+DCF!L135</f>
        <v>-148860.28800000003</v>
      </c>
      <c r="J33" s="420"/>
      <c r="K33" s="13" t="s">
        <v>43</v>
      </c>
      <c r="L33"/>
      <c r="M33"/>
      <c r="N33" s="348">
        <f>IFERROR(_xlfn.XLOOKUP($K33,Multiples!$B:$B,Multiples!N:N),"")</f>
        <v>-4.3581888419728685</v>
      </c>
      <c r="O33" s="348">
        <f>IFERROR(_xlfn.XLOOKUP($K33,Multiples!$B:$B,Multiples!O:O),"")</f>
        <v>-7.1555688231557939</v>
      </c>
      <c r="P33" s="324">
        <f>IFERROR(_xlfn.XLOOKUP($K33,Multiples!$B:$B,Multiples!P:P),"")</f>
        <v>-7.698281034522787</v>
      </c>
      <c r="Q33" s="331">
        <f ca="1">IFERROR(_xlfn.XLOOKUP($K33,Multiples!$B:$B,Multiples!Q:Q),"")</f>
        <v>-4.0838365553779585</v>
      </c>
      <c r="R33" s="331">
        <f ca="1">IFERROR(_xlfn.XLOOKUP($K33,Multiples!$B:$B,Multiples!R:R),"")</f>
        <v>-3.4331631321559337</v>
      </c>
      <c r="S33" s="594"/>
      <c r="T33" s="420"/>
      <c r="U33" s="17" t="s">
        <v>44</v>
      </c>
      <c r="V33" s="24">
        <f>+Peers!D76</f>
        <v>8.5400000000000004E-2</v>
      </c>
      <c r="W33" s="420"/>
      <c r="X33" s="420"/>
      <c r="Y33"/>
      <c r="Z33"/>
      <c r="AA33"/>
      <c r="AB33"/>
      <c r="AC33"/>
      <c r="AD33"/>
    </row>
    <row r="34" spans="1:30" ht="14.25" customHeight="1">
      <c r="A34" s="655"/>
      <c r="B34" s="656"/>
      <c r="C34" s="420"/>
      <c r="D34" s="420"/>
      <c r="E34" s="420"/>
      <c r="F34" s="420"/>
      <c r="G34" s="420"/>
      <c r="H34" s="420"/>
      <c r="I34" s="420"/>
      <c r="J34" s="420"/>
      <c r="K34" s="420"/>
      <c r="L34" s="420"/>
      <c r="M34" s="420"/>
      <c r="N34" s="420"/>
      <c r="O34" s="420"/>
      <c r="P34" s="420"/>
      <c r="Q34" s="420"/>
      <c r="R34" s="420"/>
      <c r="S34" s="657"/>
      <c r="T34" s="420"/>
      <c r="U34" s="17" t="s">
        <v>45</v>
      </c>
      <c r="V34" s="24">
        <f>+Peers!D77</f>
        <v>0.37380000000000002</v>
      </c>
      <c r="W34" s="420"/>
      <c r="X34" s="420"/>
      <c r="Y34"/>
      <c r="Z34"/>
      <c r="AA34"/>
      <c r="AB34"/>
      <c r="AC34"/>
      <c r="AD34"/>
    </row>
    <row r="35" spans="1:30" ht="14.25" customHeight="1">
      <c r="A35" s="655"/>
      <c r="B35" s="656"/>
      <c r="C35" s="420"/>
      <c r="D35" s="7" t="s">
        <v>46</v>
      </c>
      <c r="E35" s="4"/>
      <c r="F35" s="4"/>
      <c r="G35" s="4"/>
      <c r="H35" s="4"/>
      <c r="I35" s="4"/>
      <c r="J35" s="420"/>
      <c r="K35" s="7" t="s">
        <v>47</v>
      </c>
      <c r="L35" s="4"/>
      <c r="M35" s="4"/>
      <c r="N35" s="4">
        <v>2022</v>
      </c>
      <c r="O35" s="4">
        <f>+N35+1</f>
        <v>2023</v>
      </c>
      <c r="P35" s="323">
        <f>+O35+1</f>
        <v>2024</v>
      </c>
      <c r="Q35" s="5">
        <f>+P35+1</f>
        <v>2025</v>
      </c>
      <c r="R35" s="5">
        <f>+Q35+1</f>
        <v>2026</v>
      </c>
      <c r="S35" s="593"/>
      <c r="T35" s="420"/>
      <c r="U35" s="28" t="s">
        <v>48</v>
      </c>
      <c r="V35" s="568">
        <f>+Peers!D78</f>
        <v>0.14660000000000001</v>
      </c>
      <c r="W35" s="420"/>
      <c r="X35" s="420"/>
      <c r="Y35"/>
      <c r="Z35"/>
      <c r="AA35"/>
      <c r="AB35"/>
      <c r="AC35"/>
      <c r="AD35"/>
    </row>
    <row r="36" spans="1:30" ht="14.25" customHeight="1">
      <c r="A36" s="655"/>
      <c r="B36" s="656"/>
      <c r="C36" s="420"/>
      <c r="D36" s="564" t="s">
        <v>49</v>
      </c>
      <c r="E36" s="564"/>
      <c r="F36" s="565"/>
      <c r="G36" s="564" t="s">
        <v>50</v>
      </c>
      <c r="H36" s="564"/>
      <c r="I36" s="564"/>
      <c r="J36" s="420"/>
      <c r="K36" s="25" t="s">
        <v>51</v>
      </c>
      <c r="L36"/>
      <c r="M36"/>
      <c r="N36" s="348">
        <f>IFERROR(_xlfn.XLOOKUP($K36,Multiples!$B:$B,Multiples!N:N),"")</f>
        <v>2.2007440476190476</v>
      </c>
      <c r="O36" s="348">
        <f>IFERROR(_xlfn.XLOOKUP($K36,Multiples!$B:$B,Multiples!O:O),"")</f>
        <v>0.95966526746313641</v>
      </c>
      <c r="P36" s="324">
        <f>IFERROR(_xlfn.XLOOKUP($K36,Multiples!$B:$B,Multiples!P:P),"")</f>
        <v>1.5073576278231953</v>
      </c>
      <c r="Q36" s="331">
        <f ca="1">IFERROR(_xlfn.XLOOKUP($K36,Multiples!$B:$B,Multiples!Q:Q),"")</f>
        <v>-3.9720603090172037</v>
      </c>
      <c r="R36" s="331">
        <f ca="1">IFERROR(_xlfn.XLOOKUP($K36,Multiples!$B:$B,Multiples!R:R),"")</f>
        <v>-12.715982606784904</v>
      </c>
      <c r="S36" s="594"/>
      <c r="T36" s="420"/>
      <c r="U36" s="420"/>
      <c r="V36" s="420"/>
      <c r="W36" s="569">
        <v>120.87</v>
      </c>
      <c r="X36" s="420"/>
      <c r="Y36"/>
      <c r="Z36"/>
      <c r="AA36"/>
      <c r="AB36"/>
      <c r="AC36"/>
      <c r="AD36"/>
    </row>
    <row r="37" spans="1:30" ht="102.95" customHeight="1">
      <c r="A37" s="655"/>
      <c r="B37" s="656"/>
      <c r="C37" s="420"/>
      <c r="D37" s="858" t="s">
        <v>52</v>
      </c>
      <c r="E37" s="858"/>
      <c r="F37" s="859"/>
      <c r="G37" s="862" t="s">
        <v>53</v>
      </c>
      <c r="H37" s="858"/>
      <c r="I37" s="858"/>
      <c r="J37" s="420"/>
      <c r="K37" s="13" t="s">
        <v>54</v>
      </c>
      <c r="L37"/>
      <c r="M37"/>
      <c r="N37" s="348">
        <f>IFERROR(_xlfn.XLOOKUP($K37,Multiples!$B:$B,Multiples!N:N),"")</f>
        <v>17.811954365079366</v>
      </c>
      <c r="O37" s="348">
        <f>IFERROR(_xlfn.XLOOKUP($K37,Multiples!$B:$B,Multiples!O:O),"")</f>
        <v>9.872672478742869</v>
      </c>
      <c r="P37" s="324">
        <f>IFERROR(_xlfn.XLOOKUP($K37,Multiples!$B:$B,Multiples!P:P),"")</f>
        <v>9.6107801025356796</v>
      </c>
      <c r="Q37" s="331">
        <f ca="1">IFERROR(_xlfn.XLOOKUP($K37,Multiples!$B:$B,Multiples!Q:Q),"")</f>
        <v>1.1227434699464487</v>
      </c>
      <c r="R37" s="331">
        <f ca="1">IFERROR(_xlfn.XLOOKUP($K37,Multiples!$B:$B,Multiples!R:R),"")</f>
        <v>-7.5133430634679277</v>
      </c>
      <c r="S37" s="594"/>
      <c r="T37" s="420"/>
      <c r="U37" s="685" t="s">
        <v>55</v>
      </c>
      <c r="V37" s="656"/>
      <c r="W37" s="569">
        <v>113.63</v>
      </c>
      <c r="X37" s="420"/>
      <c r="Y37"/>
      <c r="Z37"/>
      <c r="AA37"/>
      <c r="AB37"/>
      <c r="AC37"/>
      <c r="AD37"/>
    </row>
    <row r="38" spans="1:30" ht="15" customHeight="1">
      <c r="A38" s="90"/>
      <c r="B38" s="656"/>
      <c r="C38" s="420"/>
      <c r="D38" s="860"/>
      <c r="E38" s="860"/>
      <c r="F38" s="861"/>
      <c r="G38" s="863"/>
      <c r="H38" s="860"/>
      <c r="I38" s="860"/>
      <c r="J38" s="420"/>
      <c r="K38" s="13" t="s">
        <v>56</v>
      </c>
      <c r="L38"/>
      <c r="M38"/>
      <c r="N38" s="348">
        <f>IFERROR(_xlfn.XLOOKUP($K38,Multiples!$B:$B,Multiples!N:N),"")</f>
        <v>18.43392857142857</v>
      </c>
      <c r="O38" s="348">
        <f>IFERROR(_xlfn.XLOOKUP($K38,Multiples!$B:$B,Multiples!O:O),"")</f>
        <v>10.493730491873857</v>
      </c>
      <c r="P38" s="324">
        <f>IFERROR(_xlfn.XLOOKUP($K38,Multiples!$B:$B,Multiples!P:P),"")</f>
        <v>10.497492032700569</v>
      </c>
      <c r="Q38" s="331">
        <f ca="1">IFERROR(_xlfn.XLOOKUP($K38,Multiples!$B:$B,Multiples!Q:Q),"")</f>
        <v>1.7427223819207562</v>
      </c>
      <c r="R38" s="331">
        <f ca="1">IFERROR(_xlfn.XLOOKUP($K38,Multiples!$B:$B,Multiples!R:R),"")</f>
        <v>1.7427223819207562</v>
      </c>
      <c r="S38" s="594"/>
      <c r="T38" s="420"/>
      <c r="U38" s="17" t="s">
        <v>57</v>
      </c>
      <c r="V38" s="12">
        <v>9.5899999999999999E-2</v>
      </c>
      <c r="W38" s="569"/>
      <c r="X38" s="420"/>
      <c r="Y38"/>
      <c r="Z38"/>
      <c r="AA38"/>
      <c r="AB38"/>
      <c r="AC38"/>
      <c r="AD38"/>
    </row>
    <row r="39" spans="1:30" ht="15" customHeight="1">
      <c r="A39" s="655"/>
      <c r="B39" s="656"/>
      <c r="C39" s="420"/>
      <c r="D39" s="860"/>
      <c r="E39" s="860"/>
      <c r="F39" s="861"/>
      <c r="G39" s="863"/>
      <c r="H39" s="860"/>
      <c r="I39" s="860"/>
      <c r="J39" s="420"/>
      <c r="K39"/>
      <c r="L39"/>
      <c r="M39"/>
      <c r="N39"/>
      <c r="O39"/>
      <c r="P39"/>
      <c r="Q39"/>
      <c r="R39"/>
      <c r="S39" s="595"/>
      <c r="T39" s="420"/>
      <c r="U39" s="17" t="s">
        <v>58</v>
      </c>
      <c r="V39" s="12">
        <v>7.1800000000000003E-2</v>
      </c>
      <c r="W39" s="569"/>
      <c r="X39" s="420"/>
      <c r="Y39"/>
      <c r="Z39"/>
      <c r="AA39"/>
      <c r="AB39"/>
      <c r="AC39"/>
      <c r="AD39"/>
    </row>
    <row r="40" spans="1:30" ht="14.25" customHeight="1">
      <c r="A40" s="655"/>
      <c r="B40" s="656"/>
      <c r="C40" s="420"/>
      <c r="D40" s="564" t="s">
        <v>59</v>
      </c>
      <c r="E40" s="564"/>
      <c r="F40" s="565"/>
      <c r="G40" s="564" t="s">
        <v>60</v>
      </c>
      <c r="H40" s="564"/>
      <c r="I40" s="564"/>
      <c r="J40" s="420"/>
      <c r="K40" s="7" t="s">
        <v>61</v>
      </c>
      <c r="L40" s="4"/>
      <c r="M40" s="4"/>
      <c r="N40" s="4">
        <v>2022</v>
      </c>
      <c r="O40" s="4">
        <f>+N40+1</f>
        <v>2023</v>
      </c>
      <c r="P40" s="323">
        <f>+O40+1</f>
        <v>2024</v>
      </c>
      <c r="Q40" s="5">
        <f>+P40+1</f>
        <v>2025</v>
      </c>
      <c r="R40" s="5">
        <f>+Q40+1</f>
        <v>2026</v>
      </c>
      <c r="S40" s="593"/>
      <c r="T40" s="420"/>
      <c r="U40" s="17" t="s">
        <v>62</v>
      </c>
      <c r="V40" s="12">
        <v>2.81E-2</v>
      </c>
      <c r="W40" s="569"/>
      <c r="X40" s="420"/>
      <c r="Y40"/>
      <c r="Z40"/>
      <c r="AA40"/>
      <c r="AB40"/>
      <c r="AC40"/>
      <c r="AD40"/>
    </row>
    <row r="41" spans="1:30" ht="55.35" customHeight="1">
      <c r="A41" s="655"/>
      <c r="B41" s="656"/>
      <c r="C41" s="420"/>
      <c r="D41" s="858" t="s">
        <v>63</v>
      </c>
      <c r="E41" s="858"/>
      <c r="F41" s="859"/>
      <c r="G41" s="862" t="s">
        <v>64</v>
      </c>
      <c r="H41" s="858"/>
      <c r="I41" s="858"/>
      <c r="J41" s="420"/>
      <c r="K41" s="14" t="s">
        <v>65</v>
      </c>
      <c r="L41"/>
      <c r="M41"/>
      <c r="N41" s="348">
        <f>IFERROR(_xlfn.XLOOKUP($K41,Multiples!$B:$B,Multiples!N:N),"")</f>
        <v>7.7715389452879435</v>
      </c>
      <c r="O41" s="348">
        <f>IFERROR(_xlfn.XLOOKUP($K41,Multiples!$B:$B,Multiples!O:O),"")</f>
        <v>97.169948280555289</v>
      </c>
      <c r="P41" s="324">
        <f>IFERROR(_xlfn.XLOOKUP($K41,Multiples!$B:$B,Multiples!P:P),"")</f>
        <v>10.89754602651314</v>
      </c>
      <c r="Q41" s="331">
        <f ca="1">IFERROR(_xlfn.XLOOKUP($K41,Multiples!$B:$B,Multiples!Q:Q),"")</f>
        <v>-34.632229006570235</v>
      </c>
      <c r="R41" s="331">
        <f ca="1">IFERROR(_xlfn.XLOOKUP($K41,Multiples!$B:$B,Multiples!R:R),"")</f>
        <v>-9.6322290065702347</v>
      </c>
      <c r="S41" s="594"/>
      <c r="T41" s="420"/>
      <c r="U41" s="17" t="s">
        <v>66</v>
      </c>
      <c r="V41" s="12">
        <v>2.06E-2</v>
      </c>
      <c r="W41" s="569"/>
      <c r="X41" s="420"/>
      <c r="Y41"/>
      <c r="Z41"/>
      <c r="AA41"/>
      <c r="AB41"/>
      <c r="AC41"/>
      <c r="AD41"/>
    </row>
    <row r="42" spans="1:30" ht="15.75" customHeight="1">
      <c r="A42" s="655"/>
      <c r="B42" s="656"/>
      <c r="C42" s="420"/>
      <c r="D42" s="860"/>
      <c r="E42" s="860"/>
      <c r="F42" s="861"/>
      <c r="G42" s="863"/>
      <c r="H42" s="860"/>
      <c r="I42" s="860"/>
      <c r="J42" s="420"/>
      <c r="K42" s="13" t="s">
        <v>67</v>
      </c>
      <c r="L42"/>
      <c r="M42"/>
      <c r="N42" s="348">
        <f>IFERROR(_xlfn.XLOOKUP($K42,Multiples!$B:$B,Multiples!N:N),"")</f>
        <v>1.0853058302384895</v>
      </c>
      <c r="O42" s="348">
        <f>IFERROR(_xlfn.XLOOKUP($K42,Multiples!$B:$B,Multiples!O:O),"")</f>
        <v>2.0012821560442071</v>
      </c>
      <c r="P42" s="324">
        <f>IFERROR(_xlfn.XLOOKUP($K42,Multiples!$B:$B,Multiples!P:P),"")</f>
        <v>3.137572353169384</v>
      </c>
      <c r="Q42" s="331">
        <f ca="1">IFERROR(_xlfn.XLOOKUP($K42,Multiples!$B:$B,Multiples!Q:Q),"")</f>
        <v>3.5102349221578453</v>
      </c>
      <c r="R42" s="331">
        <f ca="1">IFERROR(_xlfn.XLOOKUP($K42,Multiples!$B:$B,Multiples!R:R),"")</f>
        <v>2.7571679961606042</v>
      </c>
      <c r="S42" s="594"/>
      <c r="T42" s="420"/>
      <c r="U42" s="17" t="s">
        <v>68</v>
      </c>
      <c r="V42" s="12">
        <v>0.02</v>
      </c>
      <c r="W42" s="569"/>
      <c r="X42" s="665"/>
      <c r="Y42"/>
      <c r="Z42"/>
      <c r="AA42"/>
      <c r="AB42"/>
      <c r="AC42"/>
      <c r="AD42"/>
    </row>
    <row r="43" spans="1:30" ht="15.75" customHeight="1">
      <c r="A43" s="655"/>
      <c r="B43" s="656"/>
      <c r="C43" s="420"/>
      <c r="D43" s="860"/>
      <c r="E43" s="860"/>
      <c r="F43" s="861"/>
      <c r="G43" s="863"/>
      <c r="H43" s="860"/>
      <c r="I43" s="860"/>
      <c r="J43" s="420"/>
      <c r="K43" s="25" t="s">
        <v>69</v>
      </c>
      <c r="L43"/>
      <c r="M43"/>
      <c r="N43" s="348">
        <f>IFERROR(_xlfn.XLOOKUP($K43,Multiples!$B:$B,Multiples!N:N),"")</f>
        <v>7.8897937267886702</v>
      </c>
      <c r="O43" s="348">
        <f>IFERROR(_xlfn.XLOOKUP($K43,Multiples!$B:$B,Multiples!O:O),"")</f>
        <v>0.10513760769435739</v>
      </c>
      <c r="P43" s="324">
        <f>IFERROR(_xlfn.XLOOKUP($K43,Multiples!$B:$B,Multiples!P:P),"")</f>
        <v>-0.17750253115449033</v>
      </c>
      <c r="Q43" s="331">
        <f ca="1">IFERROR(_xlfn.XLOOKUP($K43,Multiples!$B:$B,Multiples!Q:Q),"")</f>
        <v>3.5600169196063582</v>
      </c>
      <c r="R43" s="331">
        <f ca="1">IFERROR(_xlfn.XLOOKUP($K43,Multiples!$B:$B,Multiples!R:R),"")</f>
        <v>3.704313211251558</v>
      </c>
      <c r="S43" s="594"/>
      <c r="T43" s="420"/>
      <c r="U43" s="17" t="s">
        <v>70</v>
      </c>
      <c r="V43" s="12">
        <v>1.11E-2</v>
      </c>
      <c r="W43" s="569"/>
      <c r="X43" s="420"/>
      <c r="Y43"/>
      <c r="Z43"/>
      <c r="AA43"/>
      <c r="AB43"/>
      <c r="AC43"/>
      <c r="AD43"/>
    </row>
    <row r="44" spans="1:30" ht="15.75" customHeight="1">
      <c r="A44" s="655"/>
      <c r="B44" s="656"/>
      <c r="C44" s="420"/>
      <c r="D44" s="420"/>
      <c r="E44" s="666"/>
      <c r="F44" s="420"/>
      <c r="G44" s="667"/>
      <c r="H44" s="420"/>
      <c r="I44" s="420"/>
      <c r="J44" s="420"/>
      <c r="K44"/>
      <c r="L44"/>
      <c r="M44"/>
      <c r="N44"/>
      <c r="O44"/>
      <c r="P44"/>
      <c r="Q44"/>
      <c r="R44"/>
      <c r="S44" s="595"/>
      <c r="T44" s="420"/>
      <c r="U44" s="17" t="s">
        <v>71</v>
      </c>
      <c r="V44" s="12">
        <v>1.11E-2</v>
      </c>
      <c r="W44" s="569"/>
      <c r="X44" s="420"/>
      <c r="Y44"/>
      <c r="Z44"/>
      <c r="AA44"/>
      <c r="AB44"/>
      <c r="AC44"/>
      <c r="AD44"/>
    </row>
    <row r="45" spans="1:30" ht="14.25" customHeight="1">
      <c r="A45" s="655"/>
      <c r="B45" s="656"/>
      <c r="C45" s="420"/>
      <c r="D45" s="566" t="s">
        <v>72</v>
      </c>
      <c r="E45" s="4"/>
      <c r="F45" s="4"/>
      <c r="G45" s="4" t="s">
        <v>73</v>
      </c>
      <c r="H45" s="4"/>
      <c r="I45" s="4"/>
      <c r="J45" s="420"/>
      <c r="K45" s="7" t="s">
        <v>74</v>
      </c>
      <c r="L45" s="4"/>
      <c r="M45" s="4"/>
      <c r="N45" s="4">
        <v>2022</v>
      </c>
      <c r="O45" s="4">
        <f>+N45+1</f>
        <v>2023</v>
      </c>
      <c r="P45" s="323">
        <f>+O45+1</f>
        <v>2024</v>
      </c>
      <c r="Q45" s="5">
        <f>+P45+1</f>
        <v>2025</v>
      </c>
      <c r="R45" s="5">
        <f>+Q45+1</f>
        <v>2026</v>
      </c>
      <c r="S45" s="593"/>
      <c r="T45" s="420"/>
      <c r="U45" s="17" t="s">
        <v>75</v>
      </c>
      <c r="V45" s="12">
        <v>8.6999999999999994E-3</v>
      </c>
      <c r="W45" s="569"/>
      <c r="X45" s="420"/>
      <c r="Y45"/>
      <c r="Z45"/>
      <c r="AA45"/>
      <c r="AB45"/>
      <c r="AC45"/>
      <c r="AD45"/>
    </row>
    <row r="46" spans="1:30" ht="14.25" customHeight="1">
      <c r="A46" s="655"/>
      <c r="B46" s="656"/>
      <c r="C46" s="420"/>
      <c r="D46" s="420"/>
      <c r="E46" s="668"/>
      <c r="F46" s="420"/>
      <c r="G46" s="667"/>
      <c r="H46" s="420"/>
      <c r="I46" s="420"/>
      <c r="J46" s="420"/>
      <c r="K46" s="13" t="s">
        <v>76</v>
      </c>
      <c r="L46"/>
      <c r="M46"/>
      <c r="N46" s="348">
        <f>IFERROR(_xlfn.XLOOKUP($K46,Multiples!$B:$B,Multiples!N:N),"")</f>
        <v>7.1276339247216267</v>
      </c>
      <c r="O46" s="348">
        <f>IFERROR(_xlfn.XLOOKUP($K46,Multiples!$B:$B,Multiples!O:O),"")</f>
        <v>16.71154694697254</v>
      </c>
      <c r="P46" s="324">
        <f>IFERROR(_xlfn.XLOOKUP($K46,Multiples!$B:$B,Multiples!P:P),"")</f>
        <v>46.175448468460019</v>
      </c>
      <c r="Q46" s="331">
        <f ca="1">IFERROR(_xlfn.XLOOKUP($K46,Multiples!$B:$B,Multiples!Q:Q),"")</f>
        <v>-0.13689392317037036</v>
      </c>
      <c r="R46" s="331">
        <f ca="1">IFERROR(_xlfn.XLOOKUP($K46,Multiples!$B:$B,Multiples!R:R),"")</f>
        <v>-2.0979168471771055</v>
      </c>
      <c r="S46" s="594"/>
      <c r="T46" s="420"/>
      <c r="U46" s="17" t="s">
        <v>77</v>
      </c>
      <c r="V46" s="12">
        <v>8.5000000000000006E-3</v>
      </c>
      <c r="W46" s="420"/>
      <c r="X46" s="420"/>
      <c r="Y46"/>
      <c r="Z46"/>
      <c r="AA46"/>
      <c r="AB46"/>
      <c r="AC46"/>
      <c r="AD46"/>
    </row>
    <row r="47" spans="1:30" ht="15" customHeight="1">
      <c r="A47" s="655"/>
      <c r="B47" s="656"/>
      <c r="C47" s="420"/>
      <c r="D47" s="420"/>
      <c r="E47" s="668"/>
      <c r="F47" s="420"/>
      <c r="G47" s="667"/>
      <c r="H47" s="420"/>
      <c r="I47" s="420"/>
      <c r="J47" s="420"/>
      <c r="K47" s="226" t="s">
        <v>78</v>
      </c>
      <c r="L47" s="420"/>
      <c r="M47" s="420"/>
      <c r="N47" s="348">
        <f>IFERROR(_xlfn.XLOOKUP($K47,Multiples!$B:$B,Multiples!N:N),"")</f>
        <v>0.87696296249781569</v>
      </c>
      <c r="O47" s="348">
        <f>IFERROR(_xlfn.XLOOKUP($K47,Multiples!$B:$B,Multiples!O:O),"")</f>
        <v>0.94353965788567484</v>
      </c>
      <c r="P47" s="324">
        <f>IFERROR(_xlfn.XLOOKUP($K47,Multiples!$B:$B,Multiples!P:P),"")</f>
        <v>0.97880253325692135</v>
      </c>
      <c r="Q47" s="331">
        <f ca="1">IFERROR(_xlfn.XLOOKUP($K47,Multiples!$B:$B,Multiples!Q:Q),"")</f>
        <v>-0.1586061399002201</v>
      </c>
      <c r="R47" s="331">
        <f ca="1">IFERROR(_xlfn.XLOOKUP($K47,Multiples!$B:$B,Multiples!R:R),"")</f>
        <v>1.9108157895300881</v>
      </c>
      <c r="S47" s="594"/>
      <c r="T47" s="420"/>
      <c r="U47" s="28" t="s">
        <v>79</v>
      </c>
      <c r="V47" s="580">
        <v>7.4000000000000003E-3</v>
      </c>
      <c r="W47" s="567"/>
      <c r="X47" s="567"/>
      <c r="Y47" s="567"/>
      <c r="Z47" s="567"/>
      <c r="AA47" s="567"/>
      <c r="AB47" s="567"/>
      <c r="AC47"/>
      <c r="AD47"/>
    </row>
    <row r="48" spans="1:30" ht="14.25" customHeight="1">
      <c r="A48" s="655"/>
      <c r="B48" s="656"/>
      <c r="C48" s="420"/>
      <c r="D48" s="420"/>
      <c r="E48" s="668"/>
      <c r="F48" s="420"/>
      <c r="G48" s="667"/>
      <c r="H48" s="420"/>
      <c r="I48" s="420"/>
      <c r="J48" s="420"/>
      <c r="K48" s="14" t="s">
        <v>80</v>
      </c>
      <c r="L48"/>
      <c r="M48"/>
      <c r="N48" s="348">
        <f>IFERROR(_xlfn.XLOOKUP($K48,Multiples!$B:$B,Multiples!N:N),"")</f>
        <v>4.9801669587553013E-2</v>
      </c>
      <c r="O48" s="348">
        <f>IFERROR(_xlfn.XLOOKUP($K48,Multiples!$B:$B,Multiples!O:O),"")</f>
        <v>0.12389537194262798</v>
      </c>
      <c r="P48" s="324">
        <f>IFERROR(_xlfn.XLOOKUP($K48,Multiples!$B:$B,Multiples!P:P),"")</f>
        <v>0.24494283893404251</v>
      </c>
      <c r="Q48" s="331">
        <f ca="1">IFERROR(_xlfn.XLOOKUP($K48,Multiples!$B:$B,Multiples!Q:Q),"")</f>
        <v>1.4385780666909951</v>
      </c>
      <c r="R48" s="331">
        <f ca="1">IFERROR(_xlfn.XLOOKUP($K48,Multiples!$B:$B,Multiples!R:R),"")</f>
        <v>1.4385780666909951</v>
      </c>
      <c r="S48" s="594"/>
      <c r="T48" s="420"/>
      <c r="U48" s="420"/>
      <c r="V48" s="420"/>
      <c r="W48" s="567"/>
      <c r="X48" s="567"/>
      <c r="Y48" s="567"/>
      <c r="Z48" s="567"/>
      <c r="AA48" s="567"/>
      <c r="AB48" s="567"/>
      <c r="AC48"/>
      <c r="AD48"/>
    </row>
    <row r="49" spans="4:35" ht="14.25" customHeight="1">
      <c r="D49" s="420"/>
      <c r="E49" s="420"/>
      <c r="F49" s="420"/>
      <c r="G49" s="420"/>
      <c r="H49" s="420"/>
      <c r="I49" s="420"/>
      <c r="J49" s="420"/>
      <c r="K49" s="13" t="s">
        <v>81</v>
      </c>
      <c r="L49"/>
      <c r="M49"/>
      <c r="N49" s="348">
        <f>IFERROR(_xlfn.XLOOKUP($K49,Multiples!$B:$B,Multiples!N:N),"")</f>
        <v>-5.0535299842779068E-2</v>
      </c>
      <c r="O49" s="348">
        <f>IFERROR(_xlfn.XLOOKUP($K49,Multiples!$B:$B,Multiples!O:O),"")</f>
        <v>-5.4994266483013185E-2</v>
      </c>
      <c r="P49" s="324">
        <f>IFERROR(_xlfn.XLOOKUP($K49,Multiples!$B:$B,Multiples!P:P),"")</f>
        <v>-8.2904195957923491E-2</v>
      </c>
      <c r="Q49" s="331">
        <f ca="1">IFERROR(_xlfn.XLOOKUP($K49,Multiples!$B:$B,Multiples!Q:Q),"")</f>
        <v>-6.7522536241697545E-2</v>
      </c>
      <c r="R49" s="331">
        <f ca="1">IFERROR(_xlfn.XLOOKUP($K49,Multiples!$B:$B,Multiples!R:R),"")</f>
        <v>-0.85664771018963914</v>
      </c>
      <c r="S49" s="594"/>
      <c r="T49" s="420"/>
      <c r="U49" s="685" t="s">
        <v>82</v>
      </c>
      <c r="V49" s="656"/>
      <c r="W49" s="567"/>
      <c r="X49" s="567"/>
      <c r="Y49" s="567"/>
      <c r="Z49" s="567"/>
      <c r="AA49" s="567"/>
      <c r="AB49" s="567"/>
      <c r="AC49"/>
      <c r="AD49"/>
      <c r="AE49" s="420"/>
      <c r="AF49" s="420"/>
      <c r="AG49" s="420"/>
      <c r="AH49" s="420"/>
      <c r="AI49" s="420"/>
    </row>
    <row r="50" spans="4:35" ht="69" customHeight="1">
      <c r="D50" s="420"/>
      <c r="E50" s="420"/>
      <c r="F50" s="420"/>
      <c r="G50" s="420"/>
      <c r="H50" s="420"/>
      <c r="I50" s="420"/>
      <c r="J50" s="420"/>
      <c r="K50" s="13" t="s">
        <v>83</v>
      </c>
      <c r="L50" s="420"/>
      <c r="M50" s="420"/>
      <c r="N50" s="348">
        <f>IFERROR(_xlfn.XLOOKUP($K50,Multiples!$B:$B,Multiples!N:N),"")</f>
        <v>-4.3686492783638599E-2</v>
      </c>
      <c r="O50" s="348">
        <f>IFERROR(_xlfn.XLOOKUP($K50,Multiples!$B:$B,Multiples!O:O),"")</f>
        <v>-4.8553867535704016E-2</v>
      </c>
      <c r="P50" s="324">
        <f>IFERROR(_xlfn.XLOOKUP($K50,Multiples!$B:$B,Multiples!P:P),"")</f>
        <v>-7.4672452289674354E-2</v>
      </c>
      <c r="Q50" s="331">
        <f ca="1">IFERROR(_xlfn.XLOOKUP($K50,Multiples!$B:$B,Multiples!Q:Q),"")</f>
        <v>-5.9687500157847767E-2</v>
      </c>
      <c r="R50" s="331">
        <f ca="1">IFERROR(_xlfn.XLOOKUP($K50,Multiples!$B:$B,Multiples!R:R),"")</f>
        <v>-0.72976311131448179</v>
      </c>
      <c r="S50" s="594"/>
      <c r="T50" s="420"/>
      <c r="U50" s="856" t="s">
        <v>84</v>
      </c>
      <c r="V50" s="856"/>
      <c r="W50" s="567"/>
      <c r="X50" s="567"/>
      <c r="Y50" s="567"/>
      <c r="Z50" s="567"/>
      <c r="AA50" s="567"/>
      <c r="AB50" s="567"/>
      <c r="AC50"/>
      <c r="AD50"/>
      <c r="AE50" s="420"/>
      <c r="AF50" s="420"/>
      <c r="AG50" s="420"/>
      <c r="AH50" s="420"/>
      <c r="AI50" s="420"/>
    </row>
    <row r="51" spans="4:35" ht="14.25" customHeight="1">
      <c r="D51" s="420"/>
      <c r="E51" s="420"/>
      <c r="F51" s="420"/>
      <c r="G51" s="420"/>
      <c r="H51" s="420"/>
      <c r="I51" s="539"/>
      <c r="J51" s="420"/>
      <c r="K51" t="s">
        <v>85</v>
      </c>
      <c r="L51"/>
      <c r="M51"/>
      <c r="N51" s="348">
        <f>IFERROR(_xlfn.XLOOKUP($K50,Multiples!$B:$B,Multiples!N:N),"")</f>
        <v>-4.3686492783638599E-2</v>
      </c>
      <c r="O51" s="348">
        <f>IFERROR(_xlfn.XLOOKUP($K50,Multiples!$B:$B,Multiples!O:O),"")</f>
        <v>-4.8553867535704016E-2</v>
      </c>
      <c r="P51" s="324">
        <f>IFERROR(_xlfn.XLOOKUP($K50,Multiples!$B:$B,Multiples!P:P),"")</f>
        <v>-7.4672452289674354E-2</v>
      </c>
      <c r="Q51" s="331">
        <f ca="1">IFERROR(_xlfn.XLOOKUP($K50,Multiples!$B:$B,Multiples!Q:Q),"")</f>
        <v>-5.9687500157847767E-2</v>
      </c>
      <c r="R51" s="331">
        <f ca="1">IFERROR(_xlfn.XLOOKUP($K50,Multiples!$B:$B,Multiples!R:R),"")</f>
        <v>-0.72976311131448179</v>
      </c>
      <c r="S51" s="594"/>
      <c r="T51" s="420"/>
      <c r="U51" s="856"/>
      <c r="V51" s="856"/>
      <c r="W51" s="567"/>
      <c r="X51" s="567"/>
      <c r="Y51" s="567"/>
      <c r="Z51" s="567"/>
      <c r="AA51" s="567"/>
      <c r="AB51" s="567"/>
      <c r="AC51"/>
      <c r="AD51"/>
      <c r="AE51" s="420"/>
      <c r="AF51" s="420"/>
      <c r="AG51" s="420"/>
      <c r="AH51" s="420"/>
      <c r="AI51" s="420"/>
    </row>
    <row r="52" spans="4:35" ht="15">
      <c r="D52" s="420"/>
      <c r="E52" s="420"/>
      <c r="F52" s="420"/>
      <c r="G52" s="420"/>
      <c r="H52" s="420"/>
      <c r="I52" s="1"/>
      <c r="J52" s="420"/>
      <c r="K52" s="420"/>
      <c r="L52" s="420"/>
      <c r="M52" s="420"/>
      <c r="N52" s="420"/>
      <c r="O52" s="420"/>
      <c r="P52" s="420"/>
      <c r="Q52" s="420"/>
      <c r="R52" s="420"/>
      <c r="S52" s="657"/>
      <c r="T52" s="420"/>
      <c r="U52" s="856"/>
      <c r="V52" s="856"/>
      <c r="W52" s="567"/>
      <c r="X52" s="567"/>
      <c r="Y52" s="567"/>
      <c r="Z52" s="567"/>
      <c r="AA52" s="567"/>
      <c r="AB52" s="567"/>
      <c r="AC52"/>
      <c r="AD52"/>
      <c r="AE52" s="420"/>
      <c r="AF52" s="420"/>
      <c r="AG52" s="420"/>
      <c r="AH52" s="420"/>
      <c r="AI52" s="420"/>
    </row>
    <row r="53" spans="4:35" ht="15.75">
      <c r="D53" s="420"/>
      <c r="E53" s="420"/>
      <c r="F53" s="420"/>
      <c r="G53" s="420"/>
      <c r="H53" s="420"/>
      <c r="I53" s="668"/>
      <c r="J53" s="420"/>
      <c r="K53" s="7" t="s">
        <v>86</v>
      </c>
      <c r="L53" s="4"/>
      <c r="M53" s="4"/>
      <c r="N53" s="4">
        <v>2022</v>
      </c>
      <c r="O53" s="4">
        <f>+N53+1</f>
        <v>2023</v>
      </c>
      <c r="P53" s="323">
        <f>+O53+1</f>
        <v>2024</v>
      </c>
      <c r="Q53" s="5">
        <f>+P53+1</f>
        <v>2025</v>
      </c>
      <c r="R53" s="5">
        <f>+Q53+1</f>
        <v>2026</v>
      </c>
      <c r="S53" s="593"/>
      <c r="T53" s="669"/>
      <c r="U53" s="856"/>
      <c r="V53" s="856"/>
      <c r="W53" s="420"/>
      <c r="X53" s="420"/>
      <c r="Y53"/>
      <c r="Z53"/>
      <c r="AA53"/>
      <c r="AB53"/>
      <c r="AC53"/>
      <c r="AD53"/>
      <c r="AE53" s="420"/>
      <c r="AF53" s="420"/>
      <c r="AG53" s="420"/>
      <c r="AH53" s="420"/>
      <c r="AI53" s="420"/>
    </row>
    <row r="54" spans="4:35" ht="15.75">
      <c r="D54" s="420"/>
      <c r="E54" s="420"/>
      <c r="F54" s="420"/>
      <c r="G54" s="420"/>
      <c r="H54" s="420"/>
      <c r="I54" s="670"/>
      <c r="J54" s="671"/>
      <c r="K54" s="14" t="s">
        <v>87</v>
      </c>
      <c r="L54"/>
      <c r="M54"/>
      <c r="N54" s="348" t="str">
        <f>IFERROR(_xlfn.XLOOKUP($K54,Multiples!$B:$B,Multiples!N:N),"")</f>
        <v>N/A</v>
      </c>
      <c r="O54" s="348" t="str">
        <f>IFERROR(_xlfn.XLOOKUP($K54,Multiples!$B:$B,Multiples!O:O),"")</f>
        <v>N/A</v>
      </c>
      <c r="P54" s="324" t="str">
        <f>IFERROR(_xlfn.XLOOKUP($K54,Multiples!$B:$B,Multiples!P:P),"")</f>
        <v>N/A</v>
      </c>
      <c r="Q54" s="331" t="str">
        <f ca="1">IFERROR(_xlfn.XLOOKUP($K54,Multiples!$B:$B,Multiples!Q:Q),"")</f>
        <v>N/A</v>
      </c>
      <c r="R54" s="331" t="str">
        <f ca="1">IFERROR(_xlfn.XLOOKUP($K54,Multiples!$B:$B,Multiples!R:R),"")</f>
        <v>N/A</v>
      </c>
      <c r="S54" s="594"/>
      <c r="T54" s="672"/>
      <c r="U54" s="856"/>
      <c r="V54" s="856"/>
      <c r="W54" s="420"/>
      <c r="X54" s="420"/>
      <c r="Y54"/>
      <c r="Z54"/>
      <c r="AA54"/>
      <c r="AB54"/>
      <c r="AC54"/>
      <c r="AD54"/>
      <c r="AE54" s="420"/>
      <c r="AF54" s="420"/>
      <c r="AG54" s="420"/>
      <c r="AH54" s="420"/>
      <c r="AI54" s="420"/>
    </row>
    <row r="55" spans="4:35" ht="15">
      <c r="D55" s="420"/>
      <c r="E55" s="420"/>
      <c r="F55" s="420"/>
      <c r="G55" s="420"/>
      <c r="H55" s="420"/>
      <c r="I55" s="673"/>
      <c r="J55" s="420"/>
      <c r="K55" s="13" t="s">
        <v>88</v>
      </c>
      <c r="L55" s="420"/>
      <c r="M55" s="420"/>
      <c r="N55" s="348" t="str">
        <f>IFERROR(_xlfn.XLOOKUP($K55,Multiples!$B:$B,Multiples!N:N),"")</f>
        <v>N/A</v>
      </c>
      <c r="O55" s="348" t="str">
        <f>IFERROR(_xlfn.XLOOKUP($K55,Multiples!$B:$B,Multiples!O:O),"")</f>
        <v>N/A</v>
      </c>
      <c r="P55" s="324" t="str">
        <f>IFERROR(_xlfn.XLOOKUP($K55,Multiples!$B:$B,Multiples!P:P),"")</f>
        <v>N/A</v>
      </c>
      <c r="Q55" s="331" t="str">
        <f ca="1">IFERROR(_xlfn.XLOOKUP($K55,Multiples!$B:$B,Multiples!Q:Q),"")</f>
        <v>N/A</v>
      </c>
      <c r="R55" s="331" t="str">
        <f ca="1">IFERROR(_xlfn.XLOOKUP($K55,Multiples!$B:$B,Multiples!R:R),"")</f>
        <v>N/A</v>
      </c>
      <c r="S55" s="594"/>
      <c r="T55" s="420"/>
      <c r="U55" s="856"/>
      <c r="V55" s="856"/>
      <c r="W55" s="420"/>
      <c r="X55" s="420"/>
      <c r="Y55"/>
      <c r="Z55"/>
      <c r="AA55"/>
      <c r="AB55"/>
      <c r="AC55"/>
      <c r="AD55"/>
      <c r="AE55" s="420"/>
      <c r="AF55" s="420"/>
      <c r="AG55" s="420"/>
      <c r="AH55" s="420"/>
      <c r="AI55" s="123"/>
    </row>
    <row r="56" spans="4:35" ht="15" customHeight="1">
      <c r="D56" s="420"/>
      <c r="E56" s="420"/>
      <c r="F56" s="420"/>
      <c r="G56" s="420"/>
      <c r="H56" s="420"/>
      <c r="I56" s="673"/>
      <c r="J56" s="420"/>
      <c r="K56" s="13" t="s">
        <v>89</v>
      </c>
      <c r="L56"/>
      <c r="M56"/>
      <c r="N56" s="348" t="str">
        <f>IFERROR(_xlfn.XLOOKUP($K56,Multiples!$B:$B,Multiples!N:N),"")</f>
        <v>N/A</v>
      </c>
      <c r="O56" s="348" t="str">
        <f>IFERROR(_xlfn.XLOOKUP($K56,Multiples!$B:$B,Multiples!O:O),"")</f>
        <v>N/A</v>
      </c>
      <c r="P56" s="324" t="str">
        <f>IFERROR(_xlfn.XLOOKUP($K56,Multiples!$B:$B,Multiples!P:P),"")</f>
        <v>N/A</v>
      </c>
      <c r="Q56" s="331" t="str">
        <f ca="1">IFERROR(_xlfn.XLOOKUP($K56,Multiples!$B:$B,Multiples!Q:Q),"")</f>
        <v>N/A</v>
      </c>
      <c r="R56" s="331" t="str">
        <f ca="1">IFERROR(_xlfn.XLOOKUP($K56,Multiples!$B:$B,Multiples!R:R),"")</f>
        <v>N/A</v>
      </c>
      <c r="S56" s="594"/>
      <c r="T56" s="420"/>
      <c r="U56" s="856"/>
      <c r="V56" s="856"/>
      <c r="W56" s="420"/>
      <c r="X56" s="420"/>
      <c r="Y56"/>
      <c r="Z56"/>
      <c r="AA56"/>
      <c r="AB56"/>
      <c r="AC56"/>
      <c r="AD56"/>
      <c r="AE56" s="420"/>
      <c r="AF56" s="420"/>
      <c r="AG56" s="420"/>
      <c r="AH56" s="420"/>
      <c r="AI56" s="674"/>
    </row>
    <row r="57" spans="4:35" ht="14.25" customHeight="1">
      <c r="D57" s="420"/>
      <c r="E57" s="420"/>
      <c r="F57" s="420"/>
      <c r="G57" s="420"/>
      <c r="H57" s="420"/>
      <c r="I57" s="673"/>
      <c r="J57" s="420"/>
      <c r="K57" s="420"/>
      <c r="L57" s="420"/>
      <c r="M57" s="420"/>
      <c r="N57" s="420"/>
      <c r="O57" s="420"/>
      <c r="P57" s="420"/>
      <c r="Q57" s="420"/>
      <c r="R57" s="420"/>
      <c r="S57" s="657"/>
      <c r="T57" s="420"/>
      <c r="U57" s="856"/>
      <c r="V57" s="856"/>
      <c r="W57" s="420"/>
      <c r="X57" s="420"/>
      <c r="Y57"/>
      <c r="Z57"/>
      <c r="AA57"/>
      <c r="AB57"/>
      <c r="AC57"/>
      <c r="AD57"/>
      <c r="AE57" s="420"/>
      <c r="AF57" s="420"/>
      <c r="AG57" s="420"/>
      <c r="AH57" s="420"/>
      <c r="AI57" s="420"/>
    </row>
    <row r="58" spans="4:35" ht="14.25" customHeight="1">
      <c r="D58" s="566" t="s">
        <v>90</v>
      </c>
      <c r="E58" s="4"/>
      <c r="F58" s="4"/>
      <c r="G58" s="4"/>
      <c r="H58" s="4"/>
      <c r="I58" s="4"/>
      <c r="J58" s="420"/>
      <c r="K58" s="566" t="s">
        <v>91</v>
      </c>
      <c r="L58" s="4"/>
      <c r="M58" s="4"/>
      <c r="N58" s="4"/>
      <c r="O58" s="4"/>
      <c r="P58" s="4"/>
      <c r="Q58" s="4"/>
      <c r="R58" s="4"/>
      <c r="S58" s="596"/>
      <c r="T58" s="420"/>
      <c r="U58" s="857"/>
      <c r="V58" s="857"/>
      <c r="W58" s="420"/>
      <c r="X58" s="420"/>
      <c r="Y58"/>
      <c r="Z58"/>
      <c r="AA58"/>
      <c r="AB58"/>
      <c r="AC58"/>
      <c r="AD58"/>
      <c r="AE58" s="420"/>
      <c r="AF58" s="420"/>
      <c r="AG58" s="420"/>
      <c r="AH58" s="420"/>
      <c r="AI58" s="420"/>
    </row>
    <row r="59" spans="4:35" ht="14.25" customHeight="1">
      <c r="D59" s="420"/>
      <c r="E59" s="420"/>
      <c r="F59" s="420"/>
      <c r="G59" s="420"/>
      <c r="H59" s="420"/>
      <c r="I59" s="673"/>
      <c r="J59" s="420"/>
      <c r="K59" s="420"/>
      <c r="L59" s="420"/>
      <c r="M59" s="420"/>
      <c r="N59" s="420"/>
      <c r="O59" s="420"/>
      <c r="P59" s="420"/>
      <c r="Q59" s="420"/>
      <c r="R59" s="420"/>
      <c r="S59" s="657"/>
      <c r="T59" s="420"/>
      <c r="U59" s="420"/>
      <c r="V59" s="420"/>
      <c r="W59" s="420"/>
      <c r="X59" s="420"/>
      <c r="Y59"/>
      <c r="Z59"/>
      <c r="AA59"/>
      <c r="AB59"/>
      <c r="AC59"/>
      <c r="AD59"/>
      <c r="AE59" s="420"/>
      <c r="AF59" s="420"/>
      <c r="AG59" s="420"/>
      <c r="AH59" s="420"/>
      <c r="AI59" s="420"/>
    </row>
    <row r="60" spans="4:35" ht="14.25" customHeight="1" thickBot="1">
      <c r="D60" s="420"/>
      <c r="E60" s="420"/>
      <c r="F60" s="420"/>
      <c r="G60" s="420"/>
      <c r="H60" s="420"/>
      <c r="I60" s="673"/>
      <c r="J60" s="420"/>
      <c r="K60" s="420"/>
      <c r="L60" s="420"/>
      <c r="M60" s="420"/>
      <c r="N60" s="420"/>
      <c r="O60" s="420"/>
      <c r="P60" s="420"/>
      <c r="Q60" s="420"/>
      <c r="R60" s="420"/>
      <c r="S60" s="657"/>
      <c r="T60" s="420"/>
      <c r="U60" s="662" t="s">
        <v>92</v>
      </c>
      <c r="V60" s="656"/>
      <c r="W60" s="420"/>
      <c r="X60" s="420"/>
      <c r="Y60"/>
      <c r="Z60"/>
      <c r="AA60"/>
      <c r="AB60"/>
      <c r="AC60"/>
      <c r="AD60"/>
      <c r="AE60" s="420"/>
      <c r="AF60" s="420"/>
      <c r="AG60" s="420"/>
      <c r="AH60" s="420"/>
      <c r="AI60" s="420"/>
    </row>
    <row r="61" spans="4:35" ht="14.25" customHeight="1" thickTop="1">
      <c r="D61" s="420"/>
      <c r="E61" s="420"/>
      <c r="F61" s="420"/>
      <c r="G61" s="420"/>
      <c r="H61" s="420"/>
      <c r="I61" s="673"/>
      <c r="J61" s="420"/>
      <c r="K61" s="420"/>
      <c r="L61" s="420"/>
      <c r="M61" s="420"/>
      <c r="N61" s="420"/>
      <c r="O61" s="420"/>
      <c r="P61" s="420"/>
      <c r="Q61" s="420"/>
      <c r="R61" s="420"/>
      <c r="S61" s="657"/>
      <c r="T61" s="420"/>
      <c r="U61" s="39" t="s">
        <v>93</v>
      </c>
      <c r="V61" s="823">
        <f>ESG!C14</f>
        <v>32</v>
      </c>
      <c r="W61" s="420"/>
      <c r="X61" s="420"/>
      <c r="Y61"/>
      <c r="Z61"/>
      <c r="AA61"/>
      <c r="AB61"/>
      <c r="AC61"/>
      <c r="AD61"/>
      <c r="AE61" s="420"/>
      <c r="AF61" s="420"/>
      <c r="AG61" s="420"/>
      <c r="AH61" s="420"/>
      <c r="AI61" s="420"/>
    </row>
    <row r="62" spans="4:35" ht="14.25" customHeight="1">
      <c r="D62" s="420"/>
      <c r="E62" s="420"/>
      <c r="F62" s="420"/>
      <c r="G62" s="420"/>
      <c r="H62" s="420"/>
      <c r="I62" s="673"/>
      <c r="J62" s="420"/>
      <c r="K62" s="420"/>
      <c r="L62" s="420"/>
      <c r="M62" s="420"/>
      <c r="N62" s="420"/>
      <c r="O62" s="420"/>
      <c r="P62" s="420"/>
      <c r="Q62" s="420"/>
      <c r="R62" s="420"/>
      <c r="S62" s="657"/>
      <c r="T62" s="420"/>
      <c r="U62" s="17" t="s">
        <v>94</v>
      </c>
      <c r="V62" s="824">
        <f>ESG!C15</f>
        <v>0</v>
      </c>
      <c r="W62" s="420"/>
      <c r="X62" s="420"/>
      <c r="Y62"/>
      <c r="Z62"/>
      <c r="AA62"/>
      <c r="AB62"/>
      <c r="AC62"/>
      <c r="AD62"/>
      <c r="AE62" s="420"/>
      <c r="AF62" s="420"/>
      <c r="AG62" s="420"/>
      <c r="AH62" s="420"/>
      <c r="AI62" s="420"/>
    </row>
    <row r="63" spans="4:35">
      <c r="D63" s="420"/>
      <c r="E63" s="420"/>
      <c r="F63" s="420"/>
      <c r="G63" s="420"/>
      <c r="H63" s="420"/>
      <c r="I63" s="420"/>
      <c r="J63" s="420"/>
      <c r="K63" s="420"/>
      <c r="L63" s="420"/>
      <c r="M63" s="420"/>
      <c r="N63" s="420"/>
      <c r="O63" s="420"/>
      <c r="P63" s="420"/>
      <c r="Q63" s="420"/>
      <c r="R63" s="420"/>
      <c r="S63" s="657"/>
      <c r="T63" s="420"/>
      <c r="U63" s="17" t="s">
        <v>95</v>
      </c>
      <c r="V63" s="824">
        <f>ESG!C16</f>
        <v>26</v>
      </c>
      <c r="W63" s="420"/>
      <c r="X63" s="420"/>
      <c r="Y63"/>
      <c r="Z63"/>
      <c r="AA63"/>
      <c r="AB63"/>
      <c r="AC63"/>
      <c r="AD63"/>
      <c r="AE63" s="420"/>
      <c r="AF63" s="420"/>
      <c r="AG63" s="420"/>
      <c r="AH63" s="420"/>
      <c r="AI63" s="420"/>
    </row>
    <row r="64" spans="4:35">
      <c r="D64" s="420"/>
      <c r="E64" s="420"/>
      <c r="F64" s="420"/>
      <c r="G64" s="420"/>
      <c r="H64" s="420"/>
      <c r="I64" s="420"/>
      <c r="J64" s="420"/>
      <c r="K64" s="420"/>
      <c r="L64" s="420"/>
      <c r="M64" s="420"/>
      <c r="N64" s="420"/>
      <c r="O64" s="420"/>
      <c r="P64" s="420"/>
      <c r="Q64" s="420"/>
      <c r="R64" s="420"/>
      <c r="S64" s="657"/>
      <c r="T64" s="420"/>
      <c r="U64" s="17" t="s">
        <v>96</v>
      </c>
      <c r="V64" s="824">
        <f>ESG!C17</f>
        <v>47</v>
      </c>
      <c r="W64" s="420"/>
      <c r="X64" s="420"/>
      <c r="Y64"/>
      <c r="Z64"/>
      <c r="AA64"/>
      <c r="AB64"/>
      <c r="AC64"/>
      <c r="AD64"/>
      <c r="AE64" s="420"/>
      <c r="AF64" s="420"/>
      <c r="AG64" s="420"/>
      <c r="AH64" s="420"/>
      <c r="AI64" s="420"/>
    </row>
    <row r="65" spans="4:30" ht="15">
      <c r="D65" s="420"/>
      <c r="E65" s="420"/>
      <c r="F65" s="420"/>
      <c r="G65" s="420"/>
      <c r="H65" s="420"/>
      <c r="I65" s="420"/>
      <c r="J65" s="420"/>
      <c r="K65" s="420"/>
      <c r="L65" s="420"/>
      <c r="M65" s="420"/>
      <c r="N65" s="420"/>
      <c r="O65" s="420"/>
      <c r="P65" s="420"/>
      <c r="Q65" s="420"/>
      <c r="R65" s="420"/>
      <c r="S65" s="657"/>
      <c r="T65" s="420"/>
      <c r="U65" s="15" t="s">
        <v>97</v>
      </c>
      <c r="V65" s="41" t="str">
        <f>ESG!C18</f>
        <v>N/A</v>
      </c>
      <c r="W65" s="420"/>
      <c r="X65" s="420"/>
      <c r="Y65"/>
      <c r="Z65"/>
      <c r="AA65"/>
      <c r="AB65"/>
      <c r="AC65"/>
      <c r="AD65"/>
    </row>
    <row r="66" spans="4:30">
      <c r="D66" s="420"/>
      <c r="E66" s="420"/>
      <c r="F66" s="420"/>
      <c r="G66" s="420"/>
      <c r="H66" s="420"/>
      <c r="I66" s="420"/>
      <c r="J66" s="420"/>
      <c r="K66" s="420"/>
      <c r="L66" s="420"/>
      <c r="M66" s="420"/>
      <c r="N66" s="420"/>
      <c r="O66" s="420"/>
      <c r="P66" s="420"/>
      <c r="Q66" s="420"/>
      <c r="R66" s="420"/>
      <c r="S66" s="657"/>
      <c r="T66" s="420"/>
      <c r="U66" s="17" t="s">
        <v>98</v>
      </c>
      <c r="V66" s="815" t="str">
        <f>ESG!C19</f>
        <v>N/A</v>
      </c>
      <c r="W66" s="420"/>
      <c r="X66" s="420"/>
      <c r="Y66"/>
      <c r="Z66"/>
      <c r="AA66"/>
      <c r="AB66"/>
      <c r="AC66"/>
      <c r="AD66"/>
    </row>
    <row r="67" spans="4:30">
      <c r="D67" s="420"/>
      <c r="E67" s="420"/>
      <c r="F67" s="420"/>
      <c r="G67" s="420"/>
      <c r="H67" s="420"/>
      <c r="I67" s="420"/>
      <c r="J67" s="420"/>
      <c r="K67" s="420"/>
      <c r="L67" s="420"/>
      <c r="M67" s="420"/>
      <c r="N67" s="420"/>
      <c r="O67" s="420"/>
      <c r="P67" s="420"/>
      <c r="Q67" s="420"/>
      <c r="R67" s="420"/>
      <c r="S67" s="657"/>
      <c r="T67" s="420"/>
      <c r="U67" s="17" t="s">
        <v>99</v>
      </c>
      <c r="V67" s="815" t="str">
        <f>ESG!C20</f>
        <v>N/A</v>
      </c>
      <c r="W67" s="420"/>
      <c r="X67" s="420"/>
      <c r="Y67"/>
      <c r="Z67"/>
      <c r="AA67"/>
      <c r="AB67"/>
      <c r="AC67"/>
      <c r="AD67"/>
    </row>
    <row r="68" spans="4:30">
      <c r="D68" s="420"/>
      <c r="E68" s="420"/>
      <c r="F68" s="420"/>
      <c r="G68" s="420"/>
      <c r="H68" s="420"/>
      <c r="I68" s="420"/>
      <c r="J68" s="420"/>
      <c r="K68" s="420"/>
      <c r="L68" s="420"/>
      <c r="M68" s="420"/>
      <c r="N68" s="420"/>
      <c r="O68" s="420"/>
      <c r="P68" s="420"/>
      <c r="Q68" s="420"/>
      <c r="R68" s="420"/>
      <c r="S68" s="657"/>
      <c r="T68" s="420"/>
      <c r="U68" s="17" t="s">
        <v>100</v>
      </c>
      <c r="V68" s="815" t="str">
        <f>ESG!C21</f>
        <v>N/A</v>
      </c>
      <c r="W68" s="420"/>
      <c r="X68" s="420"/>
      <c r="Y68"/>
      <c r="Z68"/>
      <c r="AA68"/>
      <c r="AB68"/>
      <c r="AC68"/>
      <c r="AD68"/>
    </row>
    <row r="69" spans="4:30" ht="15">
      <c r="D69" s="420"/>
      <c r="E69" s="420"/>
      <c r="F69" s="420"/>
      <c r="G69" s="420"/>
      <c r="H69" s="420"/>
      <c r="I69" s="420"/>
      <c r="J69" s="420"/>
      <c r="K69" s="420"/>
      <c r="L69" s="420"/>
      <c r="M69" s="420"/>
      <c r="N69" s="420"/>
      <c r="O69" s="420"/>
      <c r="P69" s="420"/>
      <c r="Q69" s="420"/>
      <c r="R69" s="420"/>
      <c r="S69" s="657"/>
      <c r="T69" s="420"/>
      <c r="U69" s="15" t="s">
        <v>101</v>
      </c>
      <c r="V69" s="825">
        <f>ESG!C22</f>
        <v>20</v>
      </c>
      <c r="W69" s="420"/>
      <c r="X69" s="420"/>
      <c r="Y69"/>
      <c r="Z69"/>
      <c r="AA69"/>
      <c r="AB69"/>
      <c r="AC69"/>
      <c r="AD69"/>
    </row>
    <row r="70" spans="4:30" ht="15">
      <c r="D70" s="420"/>
      <c r="E70" s="420"/>
      <c r="F70" s="420"/>
      <c r="G70" s="420"/>
      <c r="H70" s="420"/>
      <c r="I70" s="420"/>
      <c r="J70" s="420"/>
      <c r="K70" s="420"/>
      <c r="L70" s="420"/>
      <c r="M70" s="420"/>
      <c r="N70" s="420"/>
      <c r="O70" s="420"/>
      <c r="P70" s="420"/>
      <c r="Q70" s="420"/>
      <c r="R70" s="420"/>
      <c r="S70" s="657"/>
      <c r="T70" s="420"/>
      <c r="U70" s="15" t="s">
        <v>102</v>
      </c>
      <c r="V70" s="41" t="str">
        <f>ESG!C23</f>
        <v>D</v>
      </c>
      <c r="W70" s="420"/>
      <c r="X70" s="420"/>
      <c r="Y70" s="420"/>
      <c r="Z70" s="420"/>
      <c r="AA70" s="420"/>
      <c r="AB70" s="420"/>
      <c r="AC70" s="420"/>
      <c r="AD70" s="420"/>
    </row>
    <row r="71" spans="4:30">
      <c r="D71" s="420"/>
      <c r="E71" s="420"/>
      <c r="F71" s="420"/>
      <c r="G71" s="420"/>
      <c r="H71" s="420"/>
      <c r="I71" s="420"/>
      <c r="J71" s="420"/>
      <c r="K71" s="420"/>
      <c r="L71" s="420"/>
      <c r="M71" s="420"/>
      <c r="N71" s="420"/>
      <c r="O71" s="420"/>
      <c r="P71" s="420"/>
      <c r="Q71" s="420"/>
      <c r="R71" s="420"/>
      <c r="S71" s="657"/>
      <c r="T71" s="420"/>
      <c r="U71" s="17" t="s">
        <v>103</v>
      </c>
      <c r="V71" s="815">
        <f>ESG!C24</f>
        <v>-8.4</v>
      </c>
      <c r="W71" s="420"/>
      <c r="X71" s="420"/>
      <c r="Y71" s="420"/>
      <c r="Z71" s="420"/>
      <c r="AA71" s="420"/>
      <c r="AB71" s="420"/>
      <c r="AC71" s="420"/>
      <c r="AD71" s="420"/>
    </row>
    <row r="72" spans="4:30">
      <c r="D72" s="420"/>
      <c r="E72" s="420"/>
      <c r="F72" s="420"/>
      <c r="G72" s="420"/>
      <c r="H72" s="420"/>
      <c r="I72" s="420"/>
      <c r="J72" s="420"/>
      <c r="K72" s="420"/>
      <c r="L72" s="420"/>
      <c r="M72" s="420"/>
      <c r="N72" s="420"/>
      <c r="O72" s="420"/>
      <c r="P72" s="420"/>
      <c r="Q72" s="420"/>
      <c r="R72" s="420"/>
      <c r="S72" s="657"/>
      <c r="T72" s="420"/>
      <c r="U72" s="17" t="s">
        <v>104</v>
      </c>
      <c r="V72" s="826">
        <f>ESG!C25</f>
        <v>8</v>
      </c>
      <c r="W72" s="420"/>
      <c r="X72" s="420"/>
      <c r="Y72" s="420"/>
      <c r="Z72" s="420"/>
      <c r="AA72" s="420"/>
      <c r="AB72" s="420"/>
      <c r="AC72" s="420"/>
      <c r="AD72" s="420"/>
    </row>
    <row r="73" spans="4:30" ht="15">
      <c r="D73" s="420"/>
      <c r="E73" s="420"/>
      <c r="F73" s="420"/>
      <c r="G73" s="420"/>
      <c r="H73" s="420"/>
      <c r="I73" s="420"/>
      <c r="J73" s="420"/>
      <c r="K73" s="420"/>
      <c r="L73" s="420"/>
      <c r="M73" s="420"/>
      <c r="N73" s="420"/>
      <c r="O73" s="420"/>
      <c r="P73" s="420"/>
      <c r="Q73" s="420"/>
      <c r="R73" s="420"/>
      <c r="S73" s="657"/>
      <c r="T73" s="420"/>
      <c r="U73" s="15" t="s">
        <v>105</v>
      </c>
      <c r="V73" s="42" t="str">
        <f>ESG!C26</f>
        <v>N/A</v>
      </c>
      <c r="W73" s="420"/>
      <c r="X73" s="420"/>
      <c r="Y73" s="420"/>
      <c r="Z73" s="420"/>
      <c r="AA73" s="420"/>
      <c r="AB73" s="420"/>
      <c r="AC73" s="420"/>
      <c r="AD73" s="420"/>
    </row>
    <row r="80" spans="4:30" ht="14.25" customHeight="1">
      <c r="D80" s="688" t="s">
        <v>106</v>
      </c>
      <c r="E80" s="57"/>
      <c r="F80" s="56"/>
      <c r="G80" s="56"/>
      <c r="H80" s="56"/>
      <c r="I80" s="56"/>
      <c r="J80" s="56"/>
      <c r="K80" s="56"/>
      <c r="L80" s="56"/>
      <c r="M80" s="56"/>
      <c r="N80" s="56"/>
      <c r="O80" s="56"/>
      <c r="P80" s="56"/>
      <c r="Q80" s="56"/>
      <c r="R80" s="56"/>
      <c r="S80" s="657"/>
      <c r="T80" s="420"/>
      <c r="U80" s="420"/>
      <c r="V80" s="420"/>
      <c r="W80" s="420"/>
      <c r="X80" s="420"/>
      <c r="Y80" s="420"/>
      <c r="Z80" s="420"/>
      <c r="AA80" s="420"/>
      <c r="AB80" s="420"/>
      <c r="AC80" s="420"/>
      <c r="AD80" s="420"/>
    </row>
    <row r="81" spans="4:18" ht="3.95" customHeight="1">
      <c r="D81" s="58"/>
      <c r="E81" s="58"/>
      <c r="F81" s="58"/>
      <c r="G81" s="58"/>
      <c r="H81" s="58"/>
      <c r="I81" s="58"/>
      <c r="J81" s="58"/>
      <c r="K81" s="58"/>
      <c r="L81" s="58"/>
      <c r="M81" s="58"/>
      <c r="N81" s="58"/>
      <c r="O81" s="58"/>
      <c r="P81" s="58"/>
      <c r="Q81" s="58"/>
      <c r="R81" s="58"/>
    </row>
    <row r="82" spans="4:18">
      <c r="D82" s="854"/>
      <c r="E82" s="854"/>
      <c r="F82" s="854"/>
      <c r="G82" s="854"/>
      <c r="H82" s="854"/>
      <c r="I82" s="854"/>
      <c r="J82" s="854"/>
      <c r="K82" s="854"/>
      <c r="L82" s="854"/>
      <c r="M82" s="854"/>
      <c r="N82" s="854"/>
      <c r="O82" s="854"/>
      <c r="P82" s="854"/>
      <c r="Q82" s="854"/>
      <c r="R82" s="854"/>
    </row>
    <row r="83" spans="4:18">
      <c r="D83" s="854"/>
      <c r="E83" s="854"/>
      <c r="F83" s="854"/>
      <c r="G83" s="854"/>
      <c r="H83" s="854"/>
      <c r="I83" s="854"/>
      <c r="J83" s="854"/>
      <c r="K83" s="854"/>
      <c r="L83" s="854"/>
      <c r="M83" s="854"/>
      <c r="N83" s="854"/>
      <c r="O83" s="854"/>
      <c r="P83" s="854"/>
      <c r="Q83" s="854"/>
      <c r="R83" s="854"/>
    </row>
    <row r="84" spans="4:18">
      <c r="D84" s="854"/>
      <c r="E84" s="854"/>
      <c r="F84" s="854"/>
      <c r="G84" s="854"/>
      <c r="H84" s="854"/>
      <c r="I84" s="854"/>
      <c r="J84" s="854"/>
      <c r="K84" s="854"/>
      <c r="L84" s="854"/>
      <c r="M84" s="854"/>
      <c r="N84" s="854"/>
      <c r="O84" s="854"/>
      <c r="P84" s="854"/>
      <c r="Q84" s="854"/>
      <c r="R84" s="854"/>
    </row>
    <row r="85" spans="4:18">
      <c r="D85" s="854"/>
      <c r="E85" s="854"/>
      <c r="F85" s="854"/>
      <c r="G85" s="854"/>
      <c r="H85" s="854"/>
      <c r="I85" s="854"/>
      <c r="J85" s="854"/>
      <c r="K85" s="854"/>
      <c r="L85" s="854"/>
      <c r="M85" s="854"/>
      <c r="N85" s="854"/>
      <c r="O85" s="854"/>
      <c r="P85" s="854"/>
      <c r="Q85" s="854"/>
      <c r="R85" s="854"/>
    </row>
    <row r="86" spans="4:18">
      <c r="D86" s="854"/>
      <c r="E86" s="854"/>
      <c r="F86" s="854"/>
      <c r="G86" s="854"/>
      <c r="H86" s="854"/>
      <c r="I86" s="854"/>
      <c r="J86" s="854"/>
      <c r="K86" s="854"/>
      <c r="L86" s="854"/>
      <c r="M86" s="854"/>
      <c r="N86" s="854"/>
      <c r="O86" s="854"/>
      <c r="P86" s="854"/>
      <c r="Q86" s="854"/>
      <c r="R86" s="854"/>
    </row>
    <row r="87" spans="4:18">
      <c r="D87" s="855"/>
      <c r="E87" s="855"/>
      <c r="F87" s="855"/>
      <c r="G87" s="855"/>
      <c r="H87" s="855"/>
      <c r="I87" s="855"/>
      <c r="J87" s="855"/>
      <c r="K87" s="855"/>
      <c r="L87" s="855"/>
      <c r="M87" s="855"/>
      <c r="N87" s="855"/>
      <c r="O87" s="855"/>
      <c r="P87" s="855"/>
      <c r="Q87" s="855"/>
      <c r="R87" s="855"/>
    </row>
    <row r="88" spans="4:18">
      <c r="D88" s="855"/>
      <c r="E88" s="855"/>
      <c r="F88" s="855"/>
      <c r="G88" s="855"/>
      <c r="H88" s="855"/>
      <c r="I88" s="855"/>
      <c r="J88" s="855"/>
      <c r="K88" s="855"/>
      <c r="L88" s="855"/>
      <c r="M88" s="855"/>
      <c r="N88" s="855"/>
      <c r="O88" s="855"/>
      <c r="P88" s="855"/>
      <c r="Q88" s="855"/>
      <c r="R88" s="855"/>
    </row>
    <row r="1048576" spans="4:18">
      <c r="D1048576" s="697"/>
      <c r="E1048576" s="697"/>
      <c r="F1048576" s="697"/>
      <c r="G1048576" s="697"/>
      <c r="H1048576" s="697"/>
      <c r="I1048576" s="697"/>
      <c r="J1048576" s="697"/>
      <c r="K1048576" s="697"/>
      <c r="L1048576" s="697"/>
      <c r="M1048576" s="697"/>
      <c r="N1048576" s="697"/>
      <c r="O1048576" s="697"/>
      <c r="P1048576" s="697"/>
      <c r="Q1048576" s="697"/>
      <c r="R1048576" s="697"/>
    </row>
  </sheetData>
  <dataConsolidate/>
  <mergeCells count="14">
    <mergeCell ref="U50:V58"/>
    <mergeCell ref="D41:F43"/>
    <mergeCell ref="G41:I43"/>
    <mergeCell ref="D8:R9"/>
    <mergeCell ref="D11:R15"/>
    <mergeCell ref="D37:F39"/>
    <mergeCell ref="G37:I39"/>
    <mergeCell ref="D86:R86"/>
    <mergeCell ref="D87:R87"/>
    <mergeCell ref="D88:R88"/>
    <mergeCell ref="D82:R82"/>
    <mergeCell ref="D83:R83"/>
    <mergeCell ref="D84:R84"/>
    <mergeCell ref="D85:R85"/>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hyperlinks>
    <hyperlink ref="U27" r:id="rId1" xr:uid="{2ED964CE-BF24-41D6-8E78-04E6B85056A1}"/>
    <hyperlink ref="U24" r:id="rId2" xr:uid="{4D2BA6E9-12B3-AE4D-858E-BD8E5F591D1F}"/>
    <hyperlink ref="U21" r:id="rId3" xr:uid="{9BEC2E1D-4298-4250-808F-8E029F9EE925}"/>
    <hyperlink ref="U18" r:id="rId4" xr:uid="{6087B7C0-2087-46A0-81B8-E08812D408F3}"/>
  </hyperlinks>
  <pageMargins left="0.7" right="0.7" top="0.75" bottom="0.75" header="0.3" footer="0.3"/>
  <pageSetup paperSize="9" orientation="portrait"/>
  <drawing r:id="rId5"/>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2:R66"/>
  <sheetViews>
    <sheetView showGridLines="0" zoomScale="82" zoomScaleNormal="100" workbookViewId="0">
      <selection activeCell="I23" sqref="I23"/>
    </sheetView>
  </sheetViews>
  <sheetFormatPr defaultColWidth="8.875" defaultRowHeight="14.25"/>
  <cols>
    <col min="1" max="1" width="2.375" customWidth="1"/>
    <col min="2" max="2" width="33.375" bestFit="1" customWidth="1"/>
    <col min="3" max="3" width="10.875" customWidth="1"/>
    <col min="4" max="4" width="11.625" customWidth="1"/>
    <col min="5" max="5" width="13.125" customWidth="1"/>
    <col min="6" max="15" width="12.625" customWidth="1"/>
    <col min="16" max="16" width="13.625" customWidth="1"/>
    <col min="17" max="17" width="21.625" style="6" customWidth="1"/>
    <col min="18" max="32" width="12.625" customWidth="1"/>
  </cols>
  <sheetData>
    <row r="2" spans="2:18" s="33" customFormat="1" ht="20.100000000000001" customHeight="1">
      <c r="B2" s="32" t="s">
        <v>107</v>
      </c>
      <c r="Q2" s="34"/>
    </row>
    <row r="4" spans="2:18" ht="8.1" customHeight="1"/>
    <row r="5" spans="2:18" ht="15" customHeight="1">
      <c r="B5" s="56" t="s">
        <v>108</v>
      </c>
      <c r="C5" s="57"/>
      <c r="D5" s="57"/>
      <c r="E5" s="56" t="s">
        <v>109</v>
      </c>
      <c r="F5" s="57"/>
      <c r="G5" s="57"/>
      <c r="H5" s="57"/>
      <c r="I5" s="57"/>
      <c r="J5" s="57"/>
      <c r="K5" s="57"/>
      <c r="L5" s="57"/>
      <c r="M5" s="57"/>
      <c r="N5" s="57"/>
      <c r="O5" s="57"/>
      <c r="P5" s="57"/>
      <c r="Q5"/>
      <c r="R5" s="54"/>
    </row>
    <row r="6" spans="2:18" ht="3.95" customHeight="1">
      <c r="B6" s="58"/>
      <c r="C6" s="58"/>
      <c r="D6" s="58"/>
      <c r="E6" s="58"/>
      <c r="F6" s="58"/>
      <c r="G6" s="58"/>
      <c r="H6" s="58"/>
      <c r="I6" s="58"/>
      <c r="J6" s="58"/>
      <c r="K6" s="58"/>
      <c r="L6" s="58"/>
      <c r="M6" s="58"/>
      <c r="N6" s="58"/>
      <c r="O6" s="58"/>
      <c r="P6" s="58"/>
      <c r="Q6" s="54"/>
      <c r="R6" s="54"/>
    </row>
    <row r="7" spans="2:18" ht="39.950000000000003" customHeight="1">
      <c r="B7" s="866" t="s">
        <v>110</v>
      </c>
      <c r="C7" s="866"/>
      <c r="D7" s="59"/>
      <c r="E7" s="867" t="s">
        <v>111</v>
      </c>
      <c r="F7" s="868"/>
      <c r="G7" s="868"/>
      <c r="H7" s="868"/>
      <c r="I7" s="868"/>
      <c r="J7" s="868"/>
      <c r="K7" s="868"/>
      <c r="L7" s="868"/>
      <c r="M7" s="868"/>
      <c r="N7" s="868"/>
      <c r="O7" s="868"/>
      <c r="P7" s="868"/>
    </row>
    <row r="8" spans="2:18" ht="39.950000000000003" customHeight="1">
      <c r="B8" s="866" t="s">
        <v>112</v>
      </c>
      <c r="C8" s="866"/>
      <c r="D8" s="59"/>
      <c r="E8" s="867" t="s">
        <v>113</v>
      </c>
      <c r="F8" s="868"/>
      <c r="G8" s="868"/>
      <c r="H8" s="868"/>
      <c r="I8" s="868"/>
      <c r="J8" s="868"/>
      <c r="K8" s="868"/>
      <c r="L8" s="868"/>
      <c r="M8" s="868"/>
      <c r="N8" s="868"/>
      <c r="O8" s="868"/>
      <c r="P8" s="868"/>
      <c r="Q8" s="54"/>
      <c r="R8" s="1"/>
    </row>
    <row r="9" spans="2:18" ht="39.950000000000003" customHeight="1">
      <c r="B9" s="866" t="s">
        <v>114</v>
      </c>
      <c r="C9" s="866"/>
      <c r="D9" s="59"/>
      <c r="E9" s="865" t="s">
        <v>115</v>
      </c>
      <c r="F9" s="865"/>
      <c r="G9" s="865"/>
      <c r="H9" s="865"/>
      <c r="I9" s="865"/>
      <c r="J9" s="865"/>
      <c r="K9" s="865"/>
      <c r="L9" s="865"/>
      <c r="M9" s="865"/>
      <c r="N9" s="865"/>
      <c r="O9" s="865"/>
      <c r="P9" s="865"/>
      <c r="Q9" s="54"/>
      <c r="R9" s="1"/>
    </row>
    <row r="10" spans="2:18" ht="39.950000000000003" customHeight="1">
      <c r="B10" s="866" t="s">
        <v>116</v>
      </c>
      <c r="C10" s="866"/>
      <c r="D10" s="59"/>
      <c r="E10" s="867" t="s">
        <v>117</v>
      </c>
      <c r="F10" s="868"/>
      <c r="G10" s="868"/>
      <c r="H10" s="868"/>
      <c r="I10" s="868"/>
      <c r="J10" s="868"/>
      <c r="K10" s="868"/>
      <c r="L10" s="868"/>
      <c r="M10" s="868"/>
      <c r="N10" s="868"/>
      <c r="O10" s="868"/>
      <c r="P10" s="868"/>
    </row>
    <row r="11" spans="2:18" ht="8.1" customHeight="1">
      <c r="F11" s="60"/>
      <c r="G11" s="60"/>
      <c r="H11" s="60"/>
      <c r="I11" s="60"/>
      <c r="J11" s="60"/>
      <c r="K11" s="60"/>
      <c r="L11" s="60"/>
      <c r="M11" s="60"/>
      <c r="N11" s="60"/>
      <c r="O11" s="60"/>
      <c r="P11" s="60"/>
    </row>
    <row r="12" spans="2:18" ht="15.75">
      <c r="B12" s="56" t="s">
        <v>118</v>
      </c>
      <c r="C12" s="57"/>
      <c r="D12" s="57"/>
      <c r="E12" s="56" t="s">
        <v>109</v>
      </c>
      <c r="F12" s="57"/>
      <c r="G12" s="57"/>
      <c r="H12" s="57"/>
      <c r="I12" s="57"/>
      <c r="J12" s="57"/>
      <c r="K12" s="57"/>
      <c r="L12" s="57"/>
      <c r="M12" s="57"/>
      <c r="N12" s="57"/>
      <c r="O12" s="57"/>
      <c r="P12" s="57"/>
    </row>
    <row r="13" spans="2:18" ht="3.95" customHeight="1">
      <c r="B13" s="58"/>
      <c r="C13" s="58"/>
      <c r="D13" s="58"/>
      <c r="E13" s="58"/>
      <c r="F13" s="58"/>
      <c r="G13" s="58"/>
      <c r="H13" s="58"/>
      <c r="I13" s="58"/>
      <c r="J13" s="58"/>
      <c r="K13" s="58"/>
      <c r="L13" s="58"/>
      <c r="M13" s="58"/>
      <c r="N13" s="58"/>
      <c r="O13" s="58"/>
      <c r="P13" s="58"/>
    </row>
    <row r="14" spans="2:18" ht="49.5" customHeight="1">
      <c r="B14" s="866" t="s">
        <v>119</v>
      </c>
      <c r="C14" s="866"/>
      <c r="E14" s="865" t="s">
        <v>120</v>
      </c>
      <c r="F14" s="865"/>
      <c r="G14" s="865"/>
      <c r="H14" s="865"/>
      <c r="I14" s="865"/>
      <c r="J14" s="865"/>
      <c r="K14" s="865"/>
      <c r="L14" s="865"/>
      <c r="M14" s="865"/>
      <c r="N14" s="865"/>
      <c r="O14" s="865"/>
      <c r="P14" s="865"/>
      <c r="Q14" s="759"/>
    </row>
    <row r="15" spans="2:18" ht="42.75" customHeight="1">
      <c r="B15" s="866" t="s">
        <v>121</v>
      </c>
      <c r="C15" s="866"/>
      <c r="D15" s="59"/>
      <c r="E15" s="867" t="s">
        <v>122</v>
      </c>
      <c r="F15" s="868"/>
      <c r="G15" s="868"/>
      <c r="H15" s="868"/>
      <c r="I15" s="868"/>
      <c r="J15" s="868"/>
      <c r="K15" s="868"/>
      <c r="L15" s="868"/>
      <c r="M15" s="868"/>
      <c r="N15" s="868"/>
      <c r="O15" s="868"/>
      <c r="P15" s="868"/>
    </row>
    <row r="16" spans="2:18" ht="42.75" customHeight="1">
      <c r="B16" s="866" t="s">
        <v>123</v>
      </c>
      <c r="C16" s="866"/>
      <c r="D16" s="59"/>
      <c r="E16" s="867" t="s">
        <v>124</v>
      </c>
      <c r="F16" s="868"/>
      <c r="G16" s="868"/>
      <c r="H16" s="868"/>
      <c r="I16" s="868"/>
      <c r="J16" s="868"/>
      <c r="K16" s="868"/>
      <c r="L16" s="868"/>
      <c r="M16" s="868"/>
      <c r="N16" s="868"/>
      <c r="O16" s="868"/>
      <c r="P16" s="868"/>
    </row>
    <row r="17" spans="2:16" ht="39.950000000000003" hidden="1" customHeight="1">
      <c r="B17" s="866"/>
      <c r="C17" s="866"/>
      <c r="D17" s="59"/>
      <c r="E17" s="870"/>
      <c r="F17" s="870"/>
      <c r="G17" s="870"/>
      <c r="H17" s="870"/>
      <c r="I17" s="870"/>
      <c r="J17" s="870"/>
      <c r="K17" s="870"/>
      <c r="L17" s="870"/>
      <c r="M17" s="870"/>
      <c r="N17" s="870"/>
      <c r="O17" s="870"/>
      <c r="P17" s="870"/>
    </row>
    <row r="18" spans="2:16" ht="8.1" customHeight="1">
      <c r="B18" s="866"/>
      <c r="C18" s="866"/>
      <c r="D18" s="59"/>
      <c r="E18" s="870"/>
      <c r="F18" s="870"/>
      <c r="G18" s="870"/>
      <c r="H18" s="870"/>
      <c r="I18" s="870"/>
      <c r="J18" s="870"/>
      <c r="K18" s="870"/>
      <c r="L18" s="870"/>
      <c r="M18" s="870"/>
      <c r="N18" s="870"/>
      <c r="O18" s="870"/>
      <c r="P18" s="870"/>
    </row>
    <row r="19" spans="2:16" ht="15.75">
      <c r="B19" s="43" t="s">
        <v>125</v>
      </c>
      <c r="C19" s="47"/>
      <c r="D19" s="47"/>
      <c r="E19" s="43" t="s">
        <v>126</v>
      </c>
      <c r="F19" s="43"/>
      <c r="G19" s="61" t="s">
        <v>127</v>
      </c>
      <c r="H19" s="62" t="s">
        <v>128</v>
      </c>
      <c r="I19" s="48" t="s">
        <v>125</v>
      </c>
      <c r="J19" s="48"/>
      <c r="K19" s="48"/>
      <c r="L19" s="48"/>
      <c r="M19" s="48"/>
      <c r="N19" s="48"/>
      <c r="O19" s="48"/>
      <c r="P19" s="48"/>
    </row>
    <row r="20" spans="2:16" ht="3.95" customHeight="1">
      <c r="B20" s="44"/>
      <c r="C20" s="44"/>
      <c r="D20" s="44"/>
      <c r="E20" s="44"/>
      <c r="F20" s="44"/>
      <c r="G20" s="44"/>
      <c r="H20" s="44"/>
      <c r="I20" s="44"/>
      <c r="J20" s="44"/>
      <c r="K20" s="44"/>
      <c r="L20" s="44"/>
      <c r="M20" s="44"/>
      <c r="N20" s="44"/>
      <c r="O20" s="44"/>
      <c r="P20" s="44"/>
    </row>
    <row r="21" spans="2:16" ht="15">
      <c r="B21" s="63" t="str" cm="1">
        <f t="array" aca="1" ref="B21" ca="1">+_FV(DCF!AA4,"Name")</f>
        <v>IONQ, INC.</v>
      </c>
      <c r="C21" s="63"/>
      <c r="D21" s="63"/>
      <c r="E21" s="64" t="s">
        <v>129</v>
      </c>
      <c r="F21" s="64"/>
      <c r="G21" s="65" cm="1">
        <f t="array" ref="G21:G31">TRANSPOSE(Peers!D97:N97)</f>
        <v>43073</v>
      </c>
      <c r="H21" s="63"/>
      <c r="I21" s="66">
        <f>IFERROR(G21/$G$33,"")</f>
        <v>3.7128695802086026E-2</v>
      </c>
    </row>
    <row r="22" spans="2:16">
      <c r="B22" t="str" cm="1">
        <f t="array" aca="1" ref="B22" ca="1">+_FV(Peers!A8,"Name")</f>
        <v>RIGETTI COMPUTING, INC</v>
      </c>
      <c r="E22" s="67" t="s">
        <v>130</v>
      </c>
      <c r="F22" s="67"/>
      <c r="G22" s="68">
        <v>10790</v>
      </c>
      <c r="I22" s="69">
        <f>IFERROR(G22/$G$33,"")</f>
        <v>9.3009223342815275E-3</v>
      </c>
    </row>
    <row r="23" spans="2:16">
      <c r="B23" t="str" cm="1">
        <f t="array" aca="1" ref="B23" ca="1">+_FV(Peers!A9,"Name")</f>
        <v>D-WAVE QUANTUM INC.</v>
      </c>
      <c r="E23" s="67" t="s">
        <v>131</v>
      </c>
      <c r="F23" s="67"/>
      <c r="G23" s="68">
        <v>8827</v>
      </c>
      <c r="I23" s="69">
        <f>IFERROR(G23/$G$33,"")</f>
        <v>7.6088268252736836E-3</v>
      </c>
    </row>
    <row r="24" spans="2:16">
      <c r="B24" t="str" cm="1">
        <f t="array" aca="1" ref="B24" ca="1">+_FV(Peers!A10,"Name")</f>
        <v>QUANTUM COMPUTING INC.</v>
      </c>
      <c r="E24" s="67" t="s">
        <v>132</v>
      </c>
      <c r="F24" s="67"/>
      <c r="G24" s="68">
        <v>373</v>
      </c>
      <c r="I24" s="69">
        <f>IFERROR(G24/$G$33,"")</f>
        <v>3.2152400655115936E-4</v>
      </c>
    </row>
    <row r="25" spans="2:16" ht="2.1" customHeight="1">
      <c r="E25" s="67"/>
      <c r="F25" s="67"/>
      <c r="G25" s="68">
        <v>0</v>
      </c>
      <c r="I25" s="69"/>
    </row>
    <row r="26" spans="2:16" ht="2.1" customHeight="1">
      <c r="E26" s="67"/>
      <c r="F26" s="67"/>
      <c r="G26" s="68">
        <v>0</v>
      </c>
      <c r="I26" s="69"/>
    </row>
    <row r="27" spans="2:16" ht="2.1" customHeight="1">
      <c r="E27" s="67"/>
      <c r="F27" s="67"/>
      <c r="G27" s="68">
        <v>0</v>
      </c>
      <c r="I27" s="69"/>
    </row>
    <row r="28" spans="2:16" ht="2.1" hidden="1" customHeight="1">
      <c r="E28" s="67"/>
      <c r="F28" s="67"/>
      <c r="G28" s="68">
        <v>0</v>
      </c>
      <c r="I28" s="69"/>
    </row>
    <row r="29" spans="2:16" ht="4.5" customHeight="1">
      <c r="E29" s="67"/>
      <c r="F29" s="67"/>
      <c r="G29" s="68">
        <v>0</v>
      </c>
      <c r="I29" s="69"/>
    </row>
    <row r="30" spans="2:16" ht="2.1" customHeight="1">
      <c r="E30" s="67"/>
      <c r="F30" s="67"/>
      <c r="G30" s="68">
        <v>0</v>
      </c>
      <c r="I30" s="70"/>
    </row>
    <row r="31" spans="2:16" ht="2.1" customHeight="1">
      <c r="E31" s="67"/>
      <c r="F31" s="67"/>
      <c r="G31" s="68">
        <v>0</v>
      </c>
      <c r="I31" s="70"/>
    </row>
    <row r="32" spans="2:16">
      <c r="B32" s="30" t="s">
        <v>133</v>
      </c>
      <c r="C32" s="30"/>
      <c r="D32" s="30"/>
      <c r="E32" s="71" t="s">
        <v>134</v>
      </c>
      <c r="F32" s="30"/>
      <c r="G32" s="72">
        <f>G33-SUM(G21:G31)</f>
        <v>1097037</v>
      </c>
      <c r="H32" s="30"/>
      <c r="I32" s="73">
        <f t="shared" ref="I32" si="0">IFERROR(G32/$G$33,"")</f>
        <v>0.9456400310318076</v>
      </c>
    </row>
    <row r="33" spans="2:16" ht="15">
      <c r="B33" s="1" t="s">
        <v>135</v>
      </c>
      <c r="E33" s="74" t="s">
        <v>134</v>
      </c>
      <c r="G33" s="68">
        <f>DCF!G21</f>
        <v>1160100</v>
      </c>
      <c r="H33" s="19"/>
      <c r="I33" s="75">
        <v>1</v>
      </c>
    </row>
    <row r="34" spans="2:16" ht="8.1" customHeight="1"/>
    <row r="35" spans="2:16" ht="15.75">
      <c r="B35" s="43" t="s">
        <v>136</v>
      </c>
      <c r="C35" s="47"/>
      <c r="D35" s="43"/>
      <c r="E35" s="43" t="s">
        <v>137</v>
      </c>
      <c r="F35" s="48"/>
      <c r="G35" s="48"/>
      <c r="H35" s="869" t="s">
        <v>138</v>
      </c>
      <c r="I35" s="869"/>
      <c r="J35" s="48"/>
      <c r="K35" s="48"/>
      <c r="P35" s="76"/>
    </row>
    <row r="36" spans="2:16" ht="3.95" customHeight="1">
      <c r="B36" s="44"/>
      <c r="C36" s="44"/>
      <c r="D36" s="44"/>
      <c r="E36" s="44"/>
      <c r="F36" s="44"/>
      <c r="G36" s="44"/>
      <c r="H36" s="44"/>
      <c r="I36" s="44"/>
      <c r="J36" s="44"/>
      <c r="K36" s="44"/>
    </row>
    <row r="37" spans="2:16" ht="15">
      <c r="B37" s="1" t="s">
        <v>139</v>
      </c>
      <c r="E37" s="372">
        <f>IFERROR(AVERAGE(E38:E43),"")</f>
        <v>2.1666666666666665</v>
      </c>
    </row>
    <row r="38" spans="2:16">
      <c r="B38" s="17" t="s">
        <v>140</v>
      </c>
      <c r="E38" s="78">
        <v>2</v>
      </c>
    </row>
    <row r="39" spans="2:16">
      <c r="B39" s="17" t="s">
        <v>141</v>
      </c>
      <c r="E39" s="78">
        <v>2</v>
      </c>
    </row>
    <row r="40" spans="2:16">
      <c r="B40" s="17" t="s">
        <v>142</v>
      </c>
      <c r="E40" s="78">
        <v>1</v>
      </c>
    </row>
    <row r="41" spans="2:16">
      <c r="B41" s="17" t="s">
        <v>143</v>
      </c>
      <c r="E41" s="78">
        <v>2</v>
      </c>
    </row>
    <row r="42" spans="2:16">
      <c r="B42" s="17" t="s">
        <v>144</v>
      </c>
      <c r="E42" s="78">
        <v>2</v>
      </c>
    </row>
    <row r="43" spans="2:16">
      <c r="B43" s="17" t="s">
        <v>145</v>
      </c>
      <c r="E43" s="78">
        <v>4</v>
      </c>
    </row>
    <row r="44" spans="2:16" ht="15">
      <c r="B44" s="1" t="s">
        <v>146</v>
      </c>
      <c r="E44" s="77">
        <f>IFERROR(AVERAGE(E45:E49),"")</f>
        <v>3.4</v>
      </c>
    </row>
    <row r="45" spans="2:16">
      <c r="B45" s="17" t="s">
        <v>147</v>
      </c>
      <c r="E45" s="78">
        <v>4</v>
      </c>
    </row>
    <row r="46" spans="2:16">
      <c r="B46" s="17" t="s">
        <v>148</v>
      </c>
      <c r="E46" s="78">
        <v>4</v>
      </c>
    </row>
    <row r="47" spans="2:16">
      <c r="B47" s="17" t="s">
        <v>149</v>
      </c>
      <c r="E47" s="78">
        <v>4</v>
      </c>
    </row>
    <row r="48" spans="2:16">
      <c r="B48" s="17" t="s">
        <v>150</v>
      </c>
      <c r="E48" s="78">
        <v>2</v>
      </c>
    </row>
    <row r="49" spans="2:5">
      <c r="B49" s="17" t="s">
        <v>151</v>
      </c>
      <c r="E49" s="78">
        <v>3</v>
      </c>
    </row>
    <row r="50" spans="2:5" ht="15">
      <c r="B50" s="1" t="s">
        <v>152</v>
      </c>
      <c r="E50" s="77">
        <f>IFERROR(AVERAGE(E51:E55),"")</f>
        <v>4.2</v>
      </c>
    </row>
    <row r="51" spans="2:5">
      <c r="B51" s="17" t="s">
        <v>153</v>
      </c>
      <c r="E51" s="78">
        <v>3</v>
      </c>
    </row>
    <row r="52" spans="2:5">
      <c r="B52" s="17" t="s">
        <v>154</v>
      </c>
      <c r="E52" s="78">
        <v>4</v>
      </c>
    </row>
    <row r="53" spans="2:5">
      <c r="B53" s="17" t="s">
        <v>145</v>
      </c>
      <c r="E53" s="78">
        <v>5</v>
      </c>
    </row>
    <row r="54" spans="2:5">
      <c r="B54" s="17" t="s">
        <v>155</v>
      </c>
      <c r="E54" s="78">
        <v>4</v>
      </c>
    </row>
    <row r="55" spans="2:5">
      <c r="B55" s="17" t="s">
        <v>156</v>
      </c>
      <c r="E55" s="78">
        <v>5</v>
      </c>
    </row>
    <row r="56" spans="2:5" ht="15">
      <c r="B56" s="1" t="s">
        <v>157</v>
      </c>
      <c r="E56" s="77">
        <f>IFERROR(AVERAGE(E57:E61),"")</f>
        <v>3.6</v>
      </c>
    </row>
    <row r="57" spans="2:5">
      <c r="B57" s="17" t="s">
        <v>158</v>
      </c>
      <c r="E57" s="78">
        <v>4</v>
      </c>
    </row>
    <row r="58" spans="2:5">
      <c r="B58" s="17" t="s">
        <v>159</v>
      </c>
      <c r="E58" s="78">
        <v>2</v>
      </c>
    </row>
    <row r="59" spans="2:5">
      <c r="B59" s="17" t="s">
        <v>160</v>
      </c>
      <c r="E59" s="78">
        <v>3</v>
      </c>
    </row>
    <row r="60" spans="2:5">
      <c r="B60" s="17" t="s">
        <v>161</v>
      </c>
      <c r="E60" s="78">
        <v>4</v>
      </c>
    </row>
    <row r="61" spans="2:5">
      <c r="B61" s="17" t="s">
        <v>162</v>
      </c>
      <c r="E61" s="78">
        <v>5</v>
      </c>
    </row>
    <row r="62" spans="2:5" ht="15">
      <c r="B62" s="1" t="s">
        <v>163</v>
      </c>
      <c r="E62" s="77">
        <f>IFERROR(AVERAGE(E63:E67),"")</f>
        <v>1.75</v>
      </c>
    </row>
    <row r="63" spans="2:5">
      <c r="B63" s="17" t="s">
        <v>164</v>
      </c>
      <c r="E63" s="78">
        <v>3</v>
      </c>
    </row>
    <row r="64" spans="2:5">
      <c r="B64" s="17" t="s">
        <v>165</v>
      </c>
      <c r="E64" s="78">
        <v>2</v>
      </c>
    </row>
    <row r="65" spans="2:5">
      <c r="B65" s="17" t="s">
        <v>166</v>
      </c>
      <c r="E65" s="78">
        <v>1</v>
      </c>
    </row>
    <row r="66" spans="2:5">
      <c r="B66" s="17" t="s">
        <v>167</v>
      </c>
      <c r="E66" s="78">
        <v>1</v>
      </c>
    </row>
  </sheetData>
  <mergeCells count="19">
    <mergeCell ref="H35:I35"/>
    <mergeCell ref="B17:C17"/>
    <mergeCell ref="E17:P17"/>
    <mergeCell ref="B18:C18"/>
    <mergeCell ref="E18:P18"/>
    <mergeCell ref="B10:C10"/>
    <mergeCell ref="E10:P10"/>
    <mergeCell ref="B15:C15"/>
    <mergeCell ref="E15:P15"/>
    <mergeCell ref="B16:C16"/>
    <mergeCell ref="E16:P16"/>
    <mergeCell ref="E14:P14"/>
    <mergeCell ref="B14:C14"/>
    <mergeCell ref="E9:P9"/>
    <mergeCell ref="B9:C9"/>
    <mergeCell ref="B7:C7"/>
    <mergeCell ref="E7:P7"/>
    <mergeCell ref="B8:C8"/>
    <mergeCell ref="E8:P8"/>
  </mergeCells>
  <conditionalFormatting sqref="I21:I32">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pageMargins left="0.7" right="0.7" top="0.75" bottom="0.75" header="0.3" footer="0.3"/>
  <pageSetup paperSize="9" orientation="portrait" r:id="rId1"/>
  <drawing r:id="rId2"/>
  <legacyDrawing r:id="rId3"/>
  <extLst>
    <ext xmlns:x14="http://schemas.microsoft.com/office/spreadsheetml/2009/9/main" uri="{05C60535-1F16-4fd2-B633-F4F36F0B64E0}">
      <x14:sparklineGroups xmlns:xm="http://schemas.microsoft.com/office/excel/2006/main">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Industry!F11:P11</xm:f>
              <xm:sqref>E11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B2:R30"/>
  <sheetViews>
    <sheetView showGridLines="0" zoomScale="49" zoomScaleNormal="85" workbookViewId="0">
      <selection activeCell="D30" sqref="D30"/>
    </sheetView>
  </sheetViews>
  <sheetFormatPr defaultColWidth="8.875" defaultRowHeight="14.25"/>
  <cols>
    <col min="1" max="1" width="2.375" customWidth="1"/>
    <col min="2" max="2" width="35.625" bestFit="1" customWidth="1"/>
    <col min="4" max="4" width="13.125" customWidth="1"/>
    <col min="5" max="5" width="12.5" customWidth="1"/>
    <col min="6" max="6" width="12.125" customWidth="1"/>
    <col min="7" max="8" width="12.5" customWidth="1"/>
    <col min="9" max="9" width="12.375" customWidth="1"/>
    <col min="10" max="10" width="18.375" style="6" customWidth="1"/>
    <col min="11" max="11" width="11.875" customWidth="1"/>
    <col min="12" max="12" width="12.375" customWidth="1"/>
    <col min="13" max="13" width="12.5" customWidth="1"/>
    <col min="14" max="14" width="12.875" customWidth="1"/>
    <col min="15" max="15" width="14.625" customWidth="1"/>
    <col min="16" max="16" width="12.625" customWidth="1"/>
    <col min="17" max="17" width="12.125" customWidth="1"/>
    <col min="18" max="18" width="13.625" customWidth="1"/>
    <col min="19" max="19" width="13.5" customWidth="1"/>
    <col min="20" max="20" width="14.125" customWidth="1"/>
    <col min="21" max="25" width="12.625" customWidth="1"/>
  </cols>
  <sheetData>
    <row r="2" spans="2:18" s="33" customFormat="1" ht="20.100000000000001" customHeight="1">
      <c r="B2" s="32" t="s">
        <v>168</v>
      </c>
      <c r="J2" s="34"/>
    </row>
    <row r="4" spans="2:18" ht="15.75">
      <c r="B4" s="43" t="s">
        <v>169</v>
      </c>
      <c r="C4" s="47"/>
      <c r="D4" s="43" t="s">
        <v>170</v>
      </c>
      <c r="E4" s="48">
        <v>2020</v>
      </c>
      <c r="F4" s="48">
        <f>+E4+1</f>
        <v>2021</v>
      </c>
      <c r="G4" s="48">
        <f>+F4+1</f>
        <v>2022</v>
      </c>
      <c r="H4" s="48">
        <f t="shared" ref="H4:I4" si="0">+G4+1</f>
        <v>2023</v>
      </c>
      <c r="I4" s="48">
        <f t="shared" si="0"/>
        <v>2024</v>
      </c>
      <c r="J4" s="49" t="str">
        <f>"CAGR "&amp;$F$4&amp;" - "&amp;$I$4</f>
        <v>CAGR 2021 - 2024</v>
      </c>
      <c r="K4" s="48">
        <v>2021</v>
      </c>
      <c r="L4" s="48">
        <f>+K4+1</f>
        <v>2022</v>
      </c>
      <c r="M4" s="48">
        <f>+L4+1</f>
        <v>2023</v>
      </c>
      <c r="N4" s="48">
        <f t="shared" ref="N4" si="1">+M4+1</f>
        <v>2024</v>
      </c>
    </row>
    <row r="5" spans="2:18" ht="3.95" customHeight="1">
      <c r="B5" s="44"/>
      <c r="C5" s="44"/>
      <c r="D5" s="44"/>
      <c r="E5" s="44"/>
      <c r="F5" s="44"/>
      <c r="G5" s="44"/>
      <c r="H5" s="44"/>
      <c r="I5" s="44"/>
      <c r="J5" s="50"/>
      <c r="K5" s="50"/>
      <c r="L5" s="50"/>
      <c r="M5" s="50"/>
      <c r="N5" s="50"/>
    </row>
    <row r="6" spans="2:18">
      <c r="B6" t="s">
        <v>171</v>
      </c>
      <c r="D6" s="53">
        <f>IFERROR(I6/SUM($I$6:$I$7),"")</f>
        <v>0.94523251224665106</v>
      </c>
      <c r="E6" s="746">
        <v>0</v>
      </c>
      <c r="F6" s="746">
        <v>1889.1</v>
      </c>
      <c r="G6" s="746">
        <v>9175</v>
      </c>
      <c r="H6" s="746">
        <v>18703</v>
      </c>
      <c r="I6" s="746">
        <v>40714</v>
      </c>
      <c r="J6" s="52">
        <f>IFERROR((I6/F6)^(1/COUNT($G$4:$I$4))-1,"")</f>
        <v>1.7828915029943091</v>
      </c>
      <c r="K6" s="53" t="str">
        <f>IFERROR(F6-E6/E6,"")</f>
        <v/>
      </c>
      <c r="L6" s="53">
        <f t="shared" ref="L6:M8" si="2">IFERROR((G6-F6)/F6,"")</f>
        <v>3.8568101212217458</v>
      </c>
      <c r="M6" s="79">
        <f t="shared" si="2"/>
        <v>1.0384741144414169</v>
      </c>
      <c r="N6" s="79">
        <f t="shared" ref="N6:N8" si="3">IFERROR((I6-H6)/H6,"")</f>
        <v>1.1768700208522698</v>
      </c>
    </row>
    <row r="7" spans="2:18">
      <c r="B7" t="s">
        <v>172</v>
      </c>
      <c r="D7" s="53">
        <f>IFERROR(I7/SUM($I$6:$I$7),"")</f>
        <v>5.4767487753348963E-2</v>
      </c>
      <c r="E7" s="746">
        <v>0</v>
      </c>
      <c r="F7" s="746">
        <v>209.9</v>
      </c>
      <c r="G7" s="746">
        <v>1956</v>
      </c>
      <c r="H7" s="746">
        <v>3339</v>
      </c>
      <c r="I7" s="746">
        <v>2359</v>
      </c>
      <c r="J7" s="52">
        <f>IFERROR((I7/F7)^(1/COUNT($G$4:$I$4))-1,"")</f>
        <v>1.239950910923143</v>
      </c>
      <c r="K7" s="53" t="str">
        <f t="shared" ref="K7:K8" si="4">IFERROR(F7-E7/E7,"")</f>
        <v/>
      </c>
      <c r="L7" s="53">
        <f t="shared" si="2"/>
        <v>8.3187232015245343</v>
      </c>
      <c r="M7" s="79">
        <f t="shared" si="2"/>
        <v>0.70705521472392641</v>
      </c>
      <c r="N7" s="79">
        <f t="shared" si="3"/>
        <v>-0.29350104821802936</v>
      </c>
    </row>
    <row r="8" spans="2:18" ht="15">
      <c r="B8" s="1" t="s">
        <v>173</v>
      </c>
      <c r="D8" s="80">
        <f t="shared" ref="D8:I8" si="5">SUM(D6:D7)</f>
        <v>1</v>
      </c>
      <c r="E8" s="81">
        <f t="shared" si="5"/>
        <v>0</v>
      </c>
      <c r="F8" s="81">
        <f t="shared" si="5"/>
        <v>2099</v>
      </c>
      <c r="G8" s="81">
        <f t="shared" si="5"/>
        <v>11131</v>
      </c>
      <c r="H8" s="81">
        <f t="shared" si="5"/>
        <v>22042</v>
      </c>
      <c r="I8" s="81">
        <f t="shared" si="5"/>
        <v>43073</v>
      </c>
      <c r="J8" s="52">
        <f>IFERROR((I8/F8)^(1/COUNT($G$4:$I$4))-1,"")</f>
        <v>1.7377737859784346</v>
      </c>
      <c r="K8" s="55" t="str">
        <f t="shared" si="4"/>
        <v/>
      </c>
      <c r="L8" s="55">
        <f t="shared" si="2"/>
        <v>4.3030014292520251</v>
      </c>
      <c r="M8" s="79">
        <f t="shared" si="2"/>
        <v>0.9802353786721768</v>
      </c>
      <c r="N8" s="79">
        <f t="shared" si="3"/>
        <v>0.9541330187823247</v>
      </c>
    </row>
    <row r="9" spans="2:18" ht="8.1" customHeight="1">
      <c r="R9" s="82"/>
    </row>
    <row r="10" spans="2:18" ht="15.75">
      <c r="B10" s="43" t="s">
        <v>168</v>
      </c>
      <c r="C10" s="47"/>
      <c r="D10" s="43" t="s">
        <v>170</v>
      </c>
      <c r="E10" s="48">
        <v>2020</v>
      </c>
      <c r="F10" s="48">
        <f>+E10+1</f>
        <v>2021</v>
      </c>
      <c r="G10" s="48">
        <f>+F10+1</f>
        <v>2022</v>
      </c>
      <c r="H10" s="48">
        <f t="shared" ref="H10:I10" si="6">+G10+1</f>
        <v>2023</v>
      </c>
      <c r="I10" s="48">
        <f t="shared" si="6"/>
        <v>2024</v>
      </c>
      <c r="J10" s="49" t="str">
        <f>"CAGR "&amp;$G$4&amp;" - "&amp;$I$4</f>
        <v>CAGR 2022 - 2024</v>
      </c>
      <c r="K10" s="48">
        <v>2021</v>
      </c>
      <c r="L10" s="48">
        <f>+K10+1</f>
        <v>2022</v>
      </c>
      <c r="M10" s="48">
        <f>+L10+1</f>
        <v>2023</v>
      </c>
      <c r="N10" s="48">
        <f t="shared" ref="N10" si="7">+M10+1</f>
        <v>2024</v>
      </c>
    </row>
    <row r="11" spans="2:18" s="79" customFormat="1" ht="3.95" customHeight="1">
      <c r="B11" s="44"/>
      <c r="C11" s="44"/>
      <c r="D11" s="44"/>
      <c r="E11" s="44"/>
      <c r="F11" s="44"/>
      <c r="G11" s="44"/>
      <c r="H11" s="44"/>
      <c r="I11" s="44"/>
      <c r="J11" s="50"/>
      <c r="K11" s="50"/>
      <c r="L11" s="50"/>
      <c r="M11" s="50"/>
      <c r="N11" s="50"/>
      <c r="O11" s="83"/>
    </row>
    <row r="12" spans="2:18">
      <c r="B12" t="s">
        <v>174</v>
      </c>
      <c r="D12" s="53">
        <f>IFERROR(I12/SUM($I$12:$I$13),"")</f>
        <v>0.50133494300373782</v>
      </c>
      <c r="E12" s="747">
        <v>0</v>
      </c>
      <c r="F12" s="747">
        <v>0</v>
      </c>
      <c r="G12" s="747">
        <v>239</v>
      </c>
      <c r="H12" s="747">
        <v>7083</v>
      </c>
      <c r="I12" s="747">
        <v>21594</v>
      </c>
      <c r="J12" s="52">
        <f>IFERROR((I12/G12)^(1/COUNT($H$4:$I$4))-1,"")</f>
        <v>8.5053387333196309</v>
      </c>
      <c r="K12" s="82" t="str">
        <f t="shared" ref="K12:N14" si="8">IFERROR((F12-E12)/E12,"")</f>
        <v/>
      </c>
      <c r="L12" s="82" t="str">
        <f t="shared" si="8"/>
        <v/>
      </c>
      <c r="M12" s="82">
        <f>IFERROR((H12-G12)/G12,"")</f>
        <v>28.635983263598327</v>
      </c>
      <c r="N12" s="82">
        <f t="shared" si="8"/>
        <v>2.0487081745023294</v>
      </c>
    </row>
    <row r="13" spans="2:18">
      <c r="B13" t="s">
        <v>175</v>
      </c>
      <c r="D13" s="53">
        <f>IFERROR(I13/SUM($I$12:$I$13),"")</f>
        <v>0.49866505699626218</v>
      </c>
      <c r="E13" s="747">
        <v>0</v>
      </c>
      <c r="F13" s="747">
        <v>2099</v>
      </c>
      <c r="G13" s="747">
        <v>10892</v>
      </c>
      <c r="H13" s="747">
        <v>14959</v>
      </c>
      <c r="I13" s="747">
        <v>21479</v>
      </c>
      <c r="J13" s="52">
        <f>IFERROR((I13/G13)^(1/COUNT($H$4:$I$4))-1,"")</f>
        <v>0.40427838997398413</v>
      </c>
      <c r="K13" s="82" t="str">
        <f t="shared" si="8"/>
        <v/>
      </c>
      <c r="L13" s="82">
        <f t="shared" si="8"/>
        <v>4.1891376846117199</v>
      </c>
      <c r="M13" s="82">
        <f t="shared" si="8"/>
        <v>0.37339331619537275</v>
      </c>
      <c r="N13" s="82">
        <f t="shared" si="8"/>
        <v>0.4358580118991911</v>
      </c>
    </row>
    <row r="14" spans="2:18" ht="15">
      <c r="B14" s="1" t="s">
        <v>173</v>
      </c>
      <c r="D14" s="80">
        <f t="shared" ref="D14:I14" si="9">SUM(D12:D13)</f>
        <v>1</v>
      </c>
      <c r="E14" s="81">
        <f t="shared" si="9"/>
        <v>0</v>
      </c>
      <c r="F14" s="81">
        <f t="shared" si="9"/>
        <v>2099</v>
      </c>
      <c r="G14" s="81">
        <f t="shared" si="9"/>
        <v>11131</v>
      </c>
      <c r="H14" s="81">
        <f t="shared" si="9"/>
        <v>22042</v>
      </c>
      <c r="I14" s="81">
        <f t="shared" si="9"/>
        <v>43073</v>
      </c>
      <c r="J14" s="52">
        <f>IFERROR((I14/G14)^(1/COUNT($H$4:$I$4))-1,"")</f>
        <v>0.96714090456790114</v>
      </c>
      <c r="K14" s="82" t="str">
        <f t="shared" si="8"/>
        <v/>
      </c>
      <c r="L14" s="82">
        <f t="shared" si="8"/>
        <v>4.3030014292520251</v>
      </c>
      <c r="M14" s="82">
        <f t="shared" si="8"/>
        <v>0.9802353786721768</v>
      </c>
      <c r="N14" s="82">
        <f t="shared" si="8"/>
        <v>0.9541330187823247</v>
      </c>
    </row>
    <row r="15" spans="2:18" ht="8.1" customHeight="1">
      <c r="B15" s="1"/>
      <c r="D15" s="1"/>
      <c r="E15" s="81"/>
      <c r="F15" s="763"/>
      <c r="G15" s="81"/>
      <c r="H15" s="81"/>
      <c r="I15" s="81"/>
      <c r="J15" s="54"/>
      <c r="K15" s="1"/>
      <c r="L15" s="1"/>
      <c r="M15" s="1"/>
      <c r="N15" s="1"/>
    </row>
    <row r="16" spans="2:18" ht="15" customHeight="1">
      <c r="B16" s="56" t="s">
        <v>176</v>
      </c>
      <c r="C16" s="57"/>
      <c r="D16" s="56" t="s">
        <v>109</v>
      </c>
      <c r="E16" s="57"/>
      <c r="F16" s="57"/>
      <c r="G16" s="57"/>
      <c r="H16" s="57"/>
      <c r="I16" s="57"/>
      <c r="J16" s="84" t="s">
        <v>177</v>
      </c>
      <c r="K16" s="85"/>
      <c r="L16" s="85"/>
      <c r="M16" s="85"/>
      <c r="N16" s="85"/>
    </row>
    <row r="17" spans="2:15" ht="3.95" customHeight="1">
      <c r="B17" s="58"/>
      <c r="C17" s="58"/>
      <c r="D17" s="58"/>
      <c r="E17" s="58"/>
      <c r="F17" s="58"/>
      <c r="G17" s="58"/>
      <c r="H17" s="58"/>
      <c r="I17" s="58"/>
      <c r="J17" s="86"/>
      <c r="K17" s="86"/>
      <c r="L17" s="86"/>
      <c r="M17" s="86"/>
      <c r="N17" s="86"/>
    </row>
    <row r="18" spans="2:15" ht="68.25" customHeight="1">
      <c r="B18" s="866" t="s">
        <v>174</v>
      </c>
      <c r="C18" s="866"/>
      <c r="D18" s="868" t="s">
        <v>178</v>
      </c>
      <c r="E18" s="868"/>
      <c r="F18" s="868"/>
      <c r="G18" s="868"/>
      <c r="H18" s="868"/>
      <c r="I18" s="868"/>
      <c r="J18" s="54"/>
      <c r="K18" s="1"/>
      <c r="L18" s="1"/>
      <c r="M18" s="1"/>
      <c r="N18" s="1"/>
    </row>
    <row r="19" spans="2:15" ht="66.75" customHeight="1">
      <c r="B19" s="866" t="s">
        <v>175</v>
      </c>
      <c r="C19" s="866"/>
      <c r="D19" s="872" t="s">
        <v>179</v>
      </c>
      <c r="E19" s="873"/>
      <c r="F19" s="873"/>
      <c r="G19" s="873"/>
      <c r="H19" s="873"/>
      <c r="I19" s="873"/>
      <c r="J19" s="54"/>
      <c r="K19" s="1"/>
      <c r="L19" s="1"/>
      <c r="M19" s="1"/>
      <c r="N19" s="1"/>
    </row>
    <row r="20" spans="2:15" ht="39.950000000000003" hidden="1" customHeight="1">
      <c r="B20" s="866" t="e">
        <f>IF(#REF!=0,"",#REF!)</f>
        <v>#REF!</v>
      </c>
      <c r="C20" s="866"/>
      <c r="D20" s="870"/>
      <c r="E20" s="870"/>
      <c r="F20" s="870"/>
      <c r="G20" s="870"/>
      <c r="H20" s="870"/>
      <c r="I20" s="870"/>
      <c r="J20" s="54"/>
      <c r="K20" s="1"/>
      <c r="L20" s="1"/>
      <c r="M20" s="1"/>
      <c r="N20" s="1"/>
    </row>
    <row r="21" spans="2:15" ht="9" hidden="1" customHeight="1">
      <c r="B21" s="866" t="e">
        <f>IF(#REF!=0,"",#REF!)</f>
        <v>#REF!</v>
      </c>
      <c r="C21" s="866"/>
      <c r="D21" s="870"/>
      <c r="E21" s="870"/>
      <c r="F21" s="870"/>
      <c r="G21" s="870"/>
      <c r="H21" s="870"/>
      <c r="I21" s="870"/>
      <c r="J21" s="54"/>
      <c r="K21" s="1"/>
      <c r="L21" s="1"/>
      <c r="M21" s="1"/>
      <c r="N21" s="1"/>
    </row>
    <row r="22" spans="2:15" ht="8.1" customHeight="1">
      <c r="E22" s="60"/>
      <c r="F22" s="60"/>
      <c r="G22" s="60"/>
      <c r="H22" s="60"/>
      <c r="I22" s="60"/>
      <c r="J22" s="87"/>
    </row>
    <row r="23" spans="2:15" ht="8.1" customHeight="1"/>
    <row r="24" spans="2:15" ht="15.75">
      <c r="B24" s="56" t="s">
        <v>180</v>
      </c>
      <c r="C24" s="57"/>
      <c r="D24" s="56"/>
      <c r="E24" s="57"/>
      <c r="F24" s="57"/>
      <c r="G24" s="57"/>
      <c r="H24" s="57"/>
      <c r="I24" s="57"/>
      <c r="J24" s="84"/>
      <c r="K24" s="85"/>
      <c r="L24" s="85"/>
      <c r="M24" s="85"/>
      <c r="N24" s="85"/>
      <c r="O24" s="85"/>
    </row>
    <row r="25" spans="2:15" ht="3.95" customHeight="1">
      <c r="B25" s="58"/>
      <c r="C25" s="58"/>
      <c r="D25" s="58"/>
      <c r="E25" s="58"/>
      <c r="F25" s="58"/>
      <c r="G25" s="58"/>
      <c r="H25" s="58"/>
      <c r="I25" s="58"/>
      <c r="J25" s="86"/>
      <c r="K25" s="86"/>
      <c r="L25" s="86"/>
      <c r="M25" s="86"/>
      <c r="N25" s="86"/>
      <c r="O25" s="86"/>
    </row>
    <row r="26" spans="2:15" ht="39.950000000000003" customHeight="1">
      <c r="B26" s="866" t="s">
        <v>181</v>
      </c>
      <c r="C26" s="866"/>
      <c r="D26" s="874" t="s">
        <v>182</v>
      </c>
      <c r="E26" s="874"/>
      <c r="F26" s="874"/>
      <c r="G26" s="874"/>
      <c r="H26" s="874"/>
      <c r="I26" s="874"/>
      <c r="J26" s="874"/>
      <c r="K26" s="874"/>
      <c r="L26" s="874"/>
      <c r="M26" s="874"/>
      <c r="N26" s="874"/>
      <c r="O26" s="874"/>
    </row>
    <row r="27" spans="2:15" ht="39.950000000000003" customHeight="1">
      <c r="B27" s="866" t="s">
        <v>183</v>
      </c>
      <c r="C27" s="866"/>
      <c r="D27" s="871" t="s">
        <v>184</v>
      </c>
      <c r="E27" s="871"/>
      <c r="F27" s="871"/>
      <c r="G27" s="871"/>
      <c r="H27" s="871"/>
      <c r="I27" s="871"/>
      <c r="J27" s="871"/>
      <c r="K27" s="871"/>
      <c r="L27" s="871"/>
      <c r="M27" s="871"/>
      <c r="N27" s="871"/>
    </row>
    <row r="28" spans="2:15" ht="39.950000000000003" customHeight="1">
      <c r="B28" s="769" t="s">
        <v>185</v>
      </c>
      <c r="D28" s="871" t="s">
        <v>186</v>
      </c>
      <c r="E28" s="871"/>
      <c r="F28" s="871"/>
      <c r="G28" s="871"/>
      <c r="H28" s="871"/>
      <c r="I28" s="871"/>
      <c r="J28" s="871"/>
      <c r="K28" s="871"/>
      <c r="L28" s="871"/>
      <c r="M28" s="871"/>
      <c r="N28" s="871"/>
    </row>
    <row r="29" spans="2:15" ht="39.950000000000003" customHeight="1">
      <c r="B29" s="866" t="s">
        <v>187</v>
      </c>
      <c r="C29" s="866"/>
      <c r="D29" s="871" t="s">
        <v>188</v>
      </c>
      <c r="E29" s="871"/>
      <c r="F29" s="871"/>
      <c r="G29" s="871"/>
      <c r="H29" s="871"/>
      <c r="I29" s="871"/>
      <c r="J29" s="871"/>
      <c r="K29" s="871"/>
      <c r="L29" s="871"/>
      <c r="M29" s="871"/>
      <c r="N29" s="871"/>
    </row>
    <row r="30" spans="2:15" ht="39.950000000000003" customHeight="1">
      <c r="B30" s="866" t="s">
        <v>189</v>
      </c>
      <c r="C30" s="866"/>
      <c r="D30" s="871" t="s">
        <v>190</v>
      </c>
      <c r="E30" s="871"/>
      <c r="F30" s="871"/>
      <c r="G30" s="871"/>
      <c r="H30" s="871"/>
      <c r="I30" s="871"/>
      <c r="J30" s="871"/>
      <c r="K30" s="871"/>
      <c r="L30" s="871"/>
      <c r="M30" s="871"/>
      <c r="N30" s="871"/>
      <c r="O30" s="871"/>
    </row>
  </sheetData>
  <mergeCells count="17">
    <mergeCell ref="B27:C27"/>
    <mergeCell ref="D27:N27"/>
    <mergeCell ref="B18:C18"/>
    <mergeCell ref="D18:I18"/>
    <mergeCell ref="B19:C19"/>
    <mergeCell ref="D19:I19"/>
    <mergeCell ref="B20:C20"/>
    <mergeCell ref="D20:I20"/>
    <mergeCell ref="B21:C21"/>
    <mergeCell ref="D21:I21"/>
    <mergeCell ref="D26:O26"/>
    <mergeCell ref="B26:C26"/>
    <mergeCell ref="B29:C29"/>
    <mergeCell ref="D28:N28"/>
    <mergeCell ref="B30:C30"/>
    <mergeCell ref="D29:N29"/>
    <mergeCell ref="D30:O30"/>
  </mergeCells>
  <conditionalFormatting sqref="D6:D7">
    <cfRule type="dataBar" priority="128">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2:D13">
    <cfRule type="dataBar" priority="152">
      <dataBar>
        <cfvo type="min"/>
        <cfvo type="max"/>
        <color rgb="FF63C384"/>
      </dataBar>
      <extLst>
        <ext xmlns:x14="http://schemas.microsoft.com/office/spreadsheetml/2009/9/main" uri="{B025F937-C7B1-47D3-B67F-A62EFF666E3E}">
          <x14:id>{04B6A2F1-BC24-4574-A417-F3A10D0855AC}</x14:id>
        </ext>
      </extLst>
    </cfRule>
  </conditionalFormatting>
  <conditionalFormatting sqref="K6:K7">
    <cfRule type="dataBar" priority="129">
      <dataBar>
        <cfvo type="min"/>
        <cfvo type="max"/>
        <color rgb="FF63C384"/>
      </dataBar>
      <extLst>
        <ext xmlns:x14="http://schemas.microsoft.com/office/spreadsheetml/2009/9/main" uri="{B025F937-C7B1-47D3-B67F-A62EFF666E3E}">
          <x14:id>{CE64AA8B-8C2B-4BA4-B159-A0DEB993C03C}</x14:id>
        </ext>
      </extLst>
    </cfRule>
  </conditionalFormatting>
  <conditionalFormatting sqref="K12:K14">
    <cfRule type="dataBar" priority="153">
      <dataBar>
        <cfvo type="min"/>
        <cfvo type="max"/>
        <color rgb="FF63C384"/>
      </dataBar>
      <extLst>
        <ext xmlns:x14="http://schemas.microsoft.com/office/spreadsheetml/2009/9/main" uri="{B025F937-C7B1-47D3-B67F-A62EFF666E3E}">
          <x14:id>{EBD56D69-4BB4-43B8-8D45-285F41F83244}</x14:id>
        </ext>
      </extLst>
    </cfRule>
  </conditionalFormatting>
  <conditionalFormatting sqref="L6:L7">
    <cfRule type="dataBar" priority="130">
      <dataBar>
        <cfvo type="min"/>
        <cfvo type="max"/>
        <color rgb="FF63C384"/>
      </dataBar>
      <extLst>
        <ext xmlns:x14="http://schemas.microsoft.com/office/spreadsheetml/2009/9/main" uri="{B025F937-C7B1-47D3-B67F-A62EFF666E3E}">
          <x14:id>{50EA26E6-DEC0-41FA-9C99-D93A21717956}</x14:id>
        </ext>
      </extLst>
    </cfRule>
  </conditionalFormatting>
  <conditionalFormatting sqref="L12:L14">
    <cfRule type="dataBar" priority="155">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M8">
    <cfRule type="dataBar" priority="131">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2:M14">
    <cfRule type="dataBar" priority="157">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N8">
    <cfRule type="dataBar" priority="133">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2:N14">
    <cfRule type="dataBar" priority="159">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D6:D7</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D12:D13</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K6:K7</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K12:K14</xm:sqref>
        </x14:conditionalFormatting>
        <x14:conditionalFormatting xmlns:xm="http://schemas.microsoft.com/office/excel/2006/main">
          <x14:cfRule type="dataBar" id="{50EA26E6-DEC0-41FA-9C99-D93A21717956}">
            <x14:dataBar minLength="0" maxLength="100" gradient="0">
              <x14:cfvo type="autoMin"/>
              <x14:cfvo type="autoMax"/>
              <x14:negativeFillColor rgb="FFFF0000"/>
              <x14:axisColor rgb="FF000000"/>
            </x14:dataBar>
          </x14:cfRule>
          <xm:sqref>L6:L7</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L12:L14</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M6:M8</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M12:M14</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N6:N8</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N12:N14</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Segments!E22:I22</xm:f>
              <xm:sqref>D22</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Z143"/>
  <sheetViews>
    <sheetView showGridLines="0" topLeftCell="A44" zoomScale="120" zoomScaleNormal="120" workbookViewId="0">
      <pane xSplit="3" topLeftCell="D113" activePane="topRight" state="frozen"/>
      <selection pane="topRight" activeCell="R25" sqref="R25"/>
    </sheetView>
  </sheetViews>
  <sheetFormatPr defaultColWidth="9" defaultRowHeight="14.25" customHeight="1"/>
  <cols>
    <col min="1" max="1" width="2.125" style="350" customWidth="1"/>
    <col min="2" max="2" width="52.375" style="350" customWidth="1"/>
    <col min="3" max="3" width="9.375" style="350" customWidth="1"/>
    <col min="4" max="15" width="19.625" style="350" customWidth="1"/>
    <col min="16" max="19" width="9" style="350"/>
    <col min="20" max="20" width="13.625" style="350" bestFit="1" customWidth="1"/>
    <col min="21" max="16384" width="9" style="350"/>
  </cols>
  <sheetData>
    <row r="1" spans="1:52" s="349" customFormat="1" ht="12" customHeight="1">
      <c r="A1" s="373"/>
      <c r="B1" s="373"/>
      <c r="C1" s="374"/>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row>
    <row r="2" spans="1:52" s="349" customFormat="1" ht="15">
      <c r="A2" s="373"/>
      <c r="B2" s="375"/>
      <c r="C2" s="375"/>
      <c r="D2" s="376"/>
      <c r="E2" s="467"/>
      <c r="F2" s="478"/>
      <c r="G2" s="467"/>
      <c r="H2" s="478"/>
      <c r="I2" s="467"/>
      <c r="J2" s="478"/>
      <c r="K2" s="493"/>
      <c r="L2" s="499"/>
      <c r="M2" s="493"/>
      <c r="N2" s="375"/>
      <c r="O2" s="375"/>
      <c r="P2" s="377"/>
      <c r="Q2" s="377"/>
      <c r="R2" s="377"/>
      <c r="S2" s="373"/>
      <c r="T2" s="377"/>
      <c r="U2" s="377"/>
      <c r="V2" s="373"/>
      <c r="W2" s="378"/>
      <c r="X2" s="378"/>
      <c r="Y2" s="378"/>
      <c r="Z2" s="378"/>
      <c r="AA2" s="378"/>
      <c r="AB2" s="378"/>
      <c r="AC2" s="373"/>
      <c r="AD2" s="378"/>
      <c r="AE2" s="378"/>
      <c r="AF2" s="378"/>
      <c r="AG2" s="378"/>
      <c r="AH2" s="378"/>
      <c r="AI2" s="373"/>
      <c r="AJ2" s="378"/>
      <c r="AK2" s="379"/>
      <c r="AL2" s="379"/>
      <c r="AM2" s="379"/>
      <c r="AN2" s="379"/>
      <c r="AO2" s="373"/>
      <c r="AP2" s="378"/>
      <c r="AQ2" s="373"/>
      <c r="AR2" s="373"/>
      <c r="AS2" s="373"/>
      <c r="AT2" s="373"/>
      <c r="AU2" s="373"/>
      <c r="AV2" s="373"/>
      <c r="AW2" s="373"/>
      <c r="AX2" s="373"/>
      <c r="AY2" s="373"/>
      <c r="AZ2" s="373"/>
    </row>
    <row r="3" spans="1:52" s="349" customFormat="1" ht="15">
      <c r="A3" s="373"/>
      <c r="B3" s="375"/>
      <c r="C3" s="375"/>
      <c r="D3" s="791" t="s">
        <v>191</v>
      </c>
      <c r="E3" s="790"/>
      <c r="F3" s="789" t="s">
        <v>37</v>
      </c>
      <c r="G3" s="790"/>
      <c r="H3" s="876" t="s">
        <v>192</v>
      </c>
      <c r="I3" s="877"/>
      <c r="J3" s="876" t="s">
        <v>193</v>
      </c>
      <c r="K3" s="877"/>
      <c r="L3" s="876" t="s">
        <v>15</v>
      </c>
      <c r="M3" s="877"/>
      <c r="N3" s="878" t="s">
        <v>19</v>
      </c>
      <c r="O3" s="878"/>
      <c r="P3" s="377"/>
      <c r="Q3" s="582"/>
      <c r="R3" s="377"/>
      <c r="S3" s="377"/>
      <c r="T3" s="377"/>
      <c r="U3" s="377"/>
      <c r="V3" s="377"/>
      <c r="W3" s="377"/>
      <c r="X3" s="377"/>
      <c r="Y3" s="377"/>
      <c r="Z3" s="377"/>
      <c r="AA3" s="377"/>
      <c r="AB3" s="377"/>
      <c r="AC3" s="377"/>
      <c r="AD3" s="377"/>
      <c r="AE3" s="377"/>
      <c r="AF3" s="377"/>
      <c r="AG3" s="377"/>
      <c r="AH3" s="377"/>
      <c r="AI3" s="377"/>
      <c r="AJ3" s="377"/>
      <c r="AK3" s="377"/>
      <c r="AL3" s="377"/>
      <c r="AM3" s="377"/>
      <c r="AN3" s="377"/>
      <c r="AO3" s="373"/>
      <c r="AP3" s="377"/>
      <c r="AQ3" s="373"/>
      <c r="AR3" s="373"/>
      <c r="AS3" s="373"/>
      <c r="AT3" s="373"/>
      <c r="AU3" s="373"/>
      <c r="AV3" s="373"/>
      <c r="AW3" s="373"/>
      <c r="AX3" s="373"/>
      <c r="AY3" s="373"/>
      <c r="AZ3" s="373"/>
    </row>
    <row r="4" spans="1:52" s="349" customFormat="1" ht="15">
      <c r="A4" s="373"/>
      <c r="B4" s="375" t="s">
        <v>194</v>
      </c>
      <c r="C4" s="375" t="s">
        <v>195</v>
      </c>
      <c r="D4" s="376" t="str">
        <f>+Inputs!O4&amp;"-"&amp;Inputs!P4</f>
        <v>2022-2023</v>
      </c>
      <c r="E4" s="467" t="str">
        <f>+Inputs!P4&amp;"-"&amp;Inputs!Q4</f>
        <v>2023-2024</v>
      </c>
      <c r="F4" s="478">
        <v>2023</v>
      </c>
      <c r="G4" s="467">
        <v>2024</v>
      </c>
      <c r="H4" s="478" t="str">
        <f>+Inputs!O4&amp;"-"&amp;Inputs!P4</f>
        <v>2022-2023</v>
      </c>
      <c r="I4" s="467" t="str">
        <f>+Inputs!P4&amp;"-"&amp;Inputs!Q4</f>
        <v>2023-2024</v>
      </c>
      <c r="J4" s="478">
        <v>2023</v>
      </c>
      <c r="K4" s="467">
        <v>2024</v>
      </c>
      <c r="L4" s="478">
        <v>2023</v>
      </c>
      <c r="M4" s="467">
        <v>2024</v>
      </c>
      <c r="N4" s="376">
        <v>2023</v>
      </c>
      <c r="O4" s="376">
        <v>2024</v>
      </c>
      <c r="P4" s="377"/>
      <c r="Q4" s="582"/>
      <c r="R4" s="377"/>
      <c r="S4" s="377"/>
      <c r="T4" s="377"/>
      <c r="U4" s="377"/>
      <c r="V4" s="377"/>
      <c r="W4" s="377"/>
      <c r="X4" s="377"/>
      <c r="Y4" s="377"/>
      <c r="Z4" s="377"/>
      <c r="AA4" s="377"/>
      <c r="AB4" s="377"/>
      <c r="AC4" s="377"/>
      <c r="AD4" s="377"/>
      <c r="AE4" s="377"/>
      <c r="AF4" s="377"/>
      <c r="AG4" s="377"/>
      <c r="AH4" s="377"/>
      <c r="AI4" s="377"/>
      <c r="AJ4" s="377"/>
      <c r="AK4" s="377"/>
      <c r="AL4" s="377"/>
      <c r="AM4" s="377"/>
      <c r="AN4" s="377"/>
      <c r="AO4" s="373"/>
      <c r="AP4" s="377"/>
      <c r="AQ4" s="373"/>
      <c r="AR4" s="373"/>
      <c r="AS4" s="373"/>
      <c r="AT4" s="373"/>
      <c r="AU4" s="373"/>
      <c r="AV4" s="373"/>
      <c r="AW4" s="373"/>
      <c r="AX4" s="373"/>
      <c r="AY4" s="373"/>
      <c r="AZ4" s="373"/>
    </row>
    <row r="5" spans="1:52" s="349" customFormat="1" ht="3" customHeight="1" thickBot="1">
      <c r="A5" s="373"/>
      <c r="B5" s="380"/>
      <c r="C5" s="380"/>
      <c r="D5" s="380"/>
      <c r="E5" s="468"/>
      <c r="F5" s="479"/>
      <c r="G5" s="468"/>
      <c r="H5" s="479"/>
      <c r="I5" s="468"/>
      <c r="J5" s="479"/>
      <c r="K5" s="468"/>
      <c r="L5" s="479"/>
      <c r="M5" s="468"/>
      <c r="N5" s="380"/>
      <c r="O5" s="380"/>
      <c r="P5" s="381"/>
      <c r="Q5" s="582"/>
      <c r="R5" s="381"/>
      <c r="S5" s="381"/>
      <c r="T5" s="381"/>
      <c r="U5" s="381"/>
      <c r="V5" s="381"/>
      <c r="W5" s="381"/>
      <c r="X5" s="381"/>
      <c r="Y5" s="381"/>
      <c r="Z5" s="381"/>
      <c r="AA5" s="381"/>
      <c r="AB5" s="381"/>
      <c r="AC5" s="381"/>
      <c r="AD5" s="381"/>
      <c r="AE5" s="381"/>
      <c r="AF5" s="381"/>
      <c r="AG5" s="381"/>
      <c r="AH5" s="381"/>
      <c r="AI5" s="381"/>
      <c r="AJ5" s="381"/>
      <c r="AK5" s="381"/>
      <c r="AL5" s="381"/>
      <c r="AM5" s="381"/>
      <c r="AN5" s="381"/>
      <c r="AO5" s="381"/>
      <c r="AP5" s="381"/>
      <c r="AQ5" s="381"/>
      <c r="AR5" s="381"/>
      <c r="AS5" s="381"/>
      <c r="AT5" s="381"/>
      <c r="AU5" s="381"/>
      <c r="AV5" s="381"/>
      <c r="AW5" s="381"/>
      <c r="AX5" s="381"/>
      <c r="AY5" s="381"/>
      <c r="AZ5" s="381"/>
    </row>
    <row r="6" spans="1:52" s="358" customFormat="1" ht="17.25" customHeight="1">
      <c r="A6" s="382" t="e" vm="1">
        <f>+D91</f>
        <v>#VALUE!</v>
      </c>
      <c r="B6" s="383" t="str" cm="1">
        <f t="array" aca="1" ref="B6" ca="1">IFERROR(_FV(A6,"Name"),"")</f>
        <v>IONQ, INC.</v>
      </c>
      <c r="C6" s="384" t="str" cm="1">
        <f t="array" aca="1" ref="C6" ca="1">IFERROR(_FV(A6,"Ticker symbol",TRUE),"")</f>
        <v>IONQ</v>
      </c>
      <c r="D6" s="469">
        <f>IFERROR(D94/D93-1,"")</f>
        <v>0.98023537867217669</v>
      </c>
      <c r="E6" s="470">
        <f>IFERROR(D97/D94-1,"")</f>
        <v>0.9541330187823247</v>
      </c>
      <c r="F6" s="480">
        <f>IFERROR(D95/D94,"")</f>
        <v>-6.686280736775247</v>
      </c>
      <c r="G6" s="481">
        <f>IFERROR(D100/D97,"")</f>
        <v>-4.9636895502983309</v>
      </c>
      <c r="H6" s="487">
        <f>IFERROR(D96/D94,"")</f>
        <v>-7.1555688231557939</v>
      </c>
      <c r="I6" s="470">
        <f>IFERROR(D105/D97,"")</f>
        <v>-7.698281034522787</v>
      </c>
      <c r="J6" s="517" cm="1">
        <f t="array" aca="1" ref="J6" ca="1">IFERROR((_FV(A6,"Market cap",TRUE)/1000+D$121-D$111)/D$94,"")</f>
        <v>741.23244074947831</v>
      </c>
      <c r="K6" s="518" cm="1">
        <f t="array" aca="1" ref="K6" ca="1">IFERROR((_FV(A6,"Market cap",TRUE)/1000+D$121-D$111)/D$97,"")</f>
        <v>379.3152429364103</v>
      </c>
      <c r="L6" s="519" cm="1">
        <f t="array" aca="1" ref="L6" ca="1">+IFERROR((_FV(A6,"Market cap",TRUE)/1000+D$121-D$111)/D$95,"")</f>
        <v>-110.85870754313709</v>
      </c>
      <c r="M6" s="520" cm="1">
        <f t="array" aca="1" ref="M6" ca="1">IFERROR((_FV(A6,"Market cap",TRUE)/1000+D$121-D$111)/D$100,"")</f>
        <v>-76.418002998115071</v>
      </c>
      <c r="N6" s="521" cm="1">
        <f t="array" aca="1" ref="N6" ca="1">IFERROR((_FV(A6,"Market cap",TRUE)/1000)/D$96,"")</f>
        <v>-103.82067596740839</v>
      </c>
      <c r="O6" s="522" cm="1">
        <f t="array" aca="1" ref="O6" ca="1">IFERROR((_FV(A6,"Market cap",TRUE)/1000)/D$105,"")</f>
        <v>-49.383302608614144</v>
      </c>
      <c r="P6" s="386"/>
      <c r="Q6" s="582"/>
      <c r="R6" s="389"/>
      <c r="S6" s="390"/>
      <c r="T6" s="389"/>
      <c r="U6" s="389"/>
      <c r="V6" s="390"/>
      <c r="W6" s="389"/>
      <c r="X6" s="389"/>
      <c r="Y6" s="389"/>
      <c r="Z6" s="389"/>
      <c r="AA6" s="389"/>
      <c r="AB6" s="390"/>
      <c r="AC6" s="390"/>
      <c r="AD6" s="385"/>
      <c r="AE6" s="385"/>
      <c r="AF6" s="385"/>
      <c r="AG6" s="385"/>
      <c r="AH6" s="385"/>
      <c r="AI6" s="390"/>
      <c r="AJ6" s="390"/>
      <c r="AK6" s="390"/>
      <c r="AL6" s="391"/>
      <c r="AM6" s="392"/>
      <c r="AN6" s="393"/>
      <c r="AO6" s="390"/>
      <c r="AP6" s="390"/>
    </row>
    <row r="7" spans="1:52" ht="3" customHeight="1">
      <c r="A7" s="382"/>
      <c r="B7" s="394"/>
      <c r="C7" s="395"/>
      <c r="E7" s="471"/>
      <c r="F7" s="482"/>
      <c r="G7" s="483"/>
      <c r="H7" s="488"/>
      <c r="I7" s="489"/>
      <c r="J7" s="488"/>
      <c r="K7" s="489"/>
      <c r="L7" s="502"/>
      <c r="M7" s="503"/>
      <c r="N7" s="399"/>
      <c r="O7" s="400"/>
      <c r="P7" s="397"/>
      <c r="Q7" s="397"/>
      <c r="R7" s="401"/>
      <c r="S7" s="400"/>
      <c r="T7" s="401"/>
      <c r="U7" s="401"/>
      <c r="V7" s="400"/>
      <c r="W7" s="401"/>
      <c r="X7" s="401"/>
      <c r="Y7" s="401"/>
      <c r="Z7" s="401"/>
      <c r="AA7" s="401"/>
      <c r="AB7" s="400"/>
      <c r="AC7" s="400"/>
      <c r="AD7" s="396"/>
      <c r="AE7" s="396"/>
      <c r="AF7" s="396"/>
      <c r="AG7" s="396"/>
      <c r="AH7" s="396"/>
      <c r="AI7" s="400"/>
      <c r="AJ7" s="400"/>
      <c r="AK7" s="400"/>
      <c r="AL7" s="402"/>
      <c r="AM7" s="403"/>
      <c r="AN7" s="404"/>
      <c r="AO7" s="400"/>
      <c r="AP7" s="400"/>
    </row>
    <row r="8" spans="1:52" s="352" customFormat="1" ht="17.25" customHeight="1">
      <c r="A8" s="382" t="e" vm="2">
        <f>+E91</f>
        <v>#VALUE!</v>
      </c>
      <c r="B8" s="383" t="str" cm="1">
        <f t="array" aca="1" ref="B8" ca="1">IFERROR(_FV(A8,"Name"),"")</f>
        <v>RIGETTI COMPUTING, INC</v>
      </c>
      <c r="C8" s="384" t="str" cm="1">
        <f t="array" aca="1" ref="C8" ca="1">+IFERROR(_FV(A8,"Ticker symbol",TRUE),"")</f>
        <v>RGTI</v>
      </c>
      <c r="D8" s="472">
        <f>+IFERROR(E94/E93-1,"")</f>
        <v>-8.3498702488169707E-2</v>
      </c>
      <c r="E8" s="473">
        <f>IFERROR(E97/E94-1,"")</f>
        <v>-0.10143237841439046</v>
      </c>
      <c r="F8" s="484">
        <f>IFERROR(E95/E94,"")</f>
        <v>-5.1550632911392409</v>
      </c>
      <c r="G8" s="473">
        <f>+IFERROR(E100/E97,"")</f>
        <v>-6.3493975903614457</v>
      </c>
      <c r="H8" s="484">
        <f>IFERROR(E96/E94,"")</f>
        <v>-6.2547468354430382</v>
      </c>
      <c r="I8" s="473">
        <f>+IFERROR(E105/E99,"")</f>
        <v>-13.563981042654028</v>
      </c>
      <c r="J8" s="494" cm="1">
        <f t="array" aca="1" ref="J8" ca="1">+IFERROR((_FV(A8,"Market cap",TRUE)/1000+E$121-E$111)/E$94,"")</f>
        <v>517.06030496335779</v>
      </c>
      <c r="K8" s="495" cm="1">
        <f t="array" aca="1" ref="K8" ca="1">IFERROR(+(_FV(A8,"Market cap",TRUE)/1000+E$121-E$111)/E$97,"")</f>
        <v>575.42726061167753</v>
      </c>
      <c r="L8" s="500" cm="1">
        <f t="array" aca="1" ref="L8" ca="1">IFERROR(+(_FV(A8,"Market cap",TRUE)/1000+E$121-E$111)/E$95,"")</f>
        <v>-100.30144651222901</v>
      </c>
      <c r="M8" s="501" cm="1">
        <f t="array" aca="1" ref="M8" ca="1">IFERROR(+(_FV(A8,"Market cap",TRUE)/1000+E$121-E$111)/E$100,"")</f>
        <v>-90.627063815501387</v>
      </c>
      <c r="N8" s="388" cm="1">
        <f t="array" aca="1" ref="N8" ca="1">IFERROR(+(_FV(A8,"Market cap",TRUE)/1000)/E$96,"")</f>
        <v>-83.450732182086895</v>
      </c>
      <c r="O8" s="387" cm="1">
        <f t="array" aca="1" ref="O8" ca="1">IFERROR(+(_FV(A8,"Market cap",TRUE)/1000)/E$105,"")</f>
        <v>-81.110517664414942</v>
      </c>
      <c r="P8" s="386"/>
      <c r="Q8" s="386"/>
      <c r="R8" s="389"/>
      <c r="S8" s="390"/>
      <c r="T8" s="389"/>
      <c r="U8" s="389"/>
      <c r="V8" s="390"/>
      <c r="W8" s="389"/>
      <c r="X8" s="389"/>
      <c r="Y8" s="389"/>
      <c r="Z8" s="389"/>
      <c r="AA8" s="389"/>
      <c r="AB8" s="390"/>
      <c r="AC8" s="390"/>
      <c r="AD8" s="385"/>
      <c r="AE8" s="385"/>
      <c r="AF8" s="385"/>
      <c r="AG8" s="385"/>
      <c r="AH8" s="385"/>
      <c r="AI8" s="390"/>
      <c r="AJ8" s="390"/>
      <c r="AK8" s="390"/>
      <c r="AL8" s="391"/>
      <c r="AM8" s="392"/>
      <c r="AN8" s="393"/>
      <c r="AO8" s="390"/>
      <c r="AP8" s="390"/>
      <c r="AQ8" s="382"/>
      <c r="AR8" s="382"/>
      <c r="AS8" s="382"/>
      <c r="AT8" s="382"/>
      <c r="AU8" s="382"/>
      <c r="AV8" s="382"/>
      <c r="AW8" s="382"/>
      <c r="AX8" s="382"/>
      <c r="AY8" s="382"/>
      <c r="AZ8" s="382"/>
    </row>
    <row r="9" spans="1:52" s="352" customFormat="1" ht="32.1" customHeight="1">
      <c r="A9" s="405" t="e" vm="3">
        <f>+F91</f>
        <v>#VALUE!</v>
      </c>
      <c r="B9" s="383" t="str" cm="1">
        <f t="array" aca="1" ref="B9" ca="1">IFERROR(_FV(A9,"Name"),"")</f>
        <v>D-WAVE QUANTUM INC.</v>
      </c>
      <c r="C9" s="384" t="str" cm="1">
        <f t="array" aca="1" ref="C9" ca="1">+IFERROR(_FV(A9,"Ticker symbol",TRUE),"")</f>
        <v>QBTS</v>
      </c>
      <c r="D9" s="472">
        <f>IFERROR(F94/F93-1,"")</f>
        <v>0.22096751707793105</v>
      </c>
      <c r="E9" s="473">
        <f>IFERROR(+F97/F94-1,"")</f>
        <v>7.8785110755881238E-3</v>
      </c>
      <c r="F9" s="484">
        <f>IFERROR(F95/F94,"")</f>
        <v>-8.6118976935373368</v>
      </c>
      <c r="G9" s="473">
        <f>IFERROR(F100/F97,"")</f>
        <v>-8.7484989237566548</v>
      </c>
      <c r="H9" s="484">
        <f>IFERROR(F96/F94,"")</f>
        <v>-9.4445078785110752</v>
      </c>
      <c r="I9" s="473">
        <f>+IFERROR(F105/F97,"")</f>
        <v>-8.5258864846493712</v>
      </c>
      <c r="J9" s="494" cm="1">
        <f t="array" aca="1" ref="J9" ca="1">IFERROR(+(_FV(A9,"Market cap",TRUE)/1000+F$121-F$111)/F$94,"")</f>
        <v>679.9683838775976</v>
      </c>
      <c r="K9" s="495" cm="1">
        <f t="array" aca="1" ref="K9" ca="1">IFERROR(+(_FV(A9,"Market cap",TRUE)/1000+F$121-F$111)/F$97,"")</f>
        <v>674.65312178543104</v>
      </c>
      <c r="L9" s="500" cm="1">
        <f t="array" aca="1" ref="L9" ca="1">IFERROR(+(_FV(A9,"Market cap",TRUE)/1000+F$121-F$111)/F$95,"")</f>
        <v>-78.956858067167829</v>
      </c>
      <c r="M9" s="501" cm="1">
        <f t="array" aca="1" ref="M9" ca="1">IFERROR(+(_FV(A9,"Market cap",TRUE)/1000+F$121-F$111)/F$100,"")</f>
        <v>-77.116443365318617</v>
      </c>
      <c r="N9" s="388" cm="1">
        <f t="array" aca="1" ref="N9" ca="1">IFERROR(+(_FV(A9,"Market cap",TRUE)/1000)/F$96,"")</f>
        <v>-73.683928017892754</v>
      </c>
      <c r="O9" s="387" cm="1">
        <f t="array" aca="1" ref="O9" ca="1">IFERROR(+(_FV(A9,"Market cap",TRUE)/1000)/F$105,"")</f>
        <v>-80.984959818225306</v>
      </c>
      <c r="P9" s="386"/>
      <c r="Q9" s="386"/>
      <c r="R9" s="389"/>
      <c r="S9" s="390"/>
      <c r="T9" s="389"/>
      <c r="U9" s="389"/>
      <c r="V9" s="390"/>
      <c r="W9" s="389"/>
      <c r="X9" s="389"/>
      <c r="Y9" s="389"/>
      <c r="Z9" s="389"/>
      <c r="AA9" s="389"/>
      <c r="AB9" s="390"/>
      <c r="AC9" s="390"/>
      <c r="AD9" s="385"/>
      <c r="AE9" s="385"/>
      <c r="AF9" s="385"/>
      <c r="AG9" s="385"/>
      <c r="AH9" s="385"/>
      <c r="AI9" s="390"/>
      <c r="AJ9" s="390"/>
      <c r="AK9" s="390"/>
      <c r="AL9" s="391"/>
      <c r="AM9" s="392"/>
      <c r="AN9" s="393"/>
      <c r="AO9" s="390"/>
      <c r="AP9" s="390"/>
      <c r="AQ9" s="382"/>
      <c r="AR9" s="382"/>
      <c r="AS9" s="382"/>
      <c r="AT9" s="382"/>
      <c r="AU9" s="382"/>
      <c r="AV9" s="382"/>
      <c r="AW9" s="382"/>
      <c r="AX9" s="382"/>
      <c r="AY9" s="382"/>
      <c r="AZ9" s="382"/>
    </row>
    <row r="10" spans="1:52" s="352" customFormat="1" ht="28.35" customHeight="1">
      <c r="A10" s="405" t="e" vm="4">
        <f>+G91</f>
        <v>#VALUE!</v>
      </c>
      <c r="B10" s="383" t="str" cm="1">
        <f t="array" aca="1" ref="B10" ca="1">IFERROR(_FV(A10,"Name"),"")</f>
        <v>QUANTUM COMPUTING INC.</v>
      </c>
      <c r="C10" s="384" t="str" cm="1">
        <f t="array" aca="1" ref="C10" ca="1">IFERROR(_FV(A10,"Ticker symbol",TRUE),"")</f>
        <v>QUBT</v>
      </c>
      <c r="D10" s="472">
        <f>+IFERROR(G94/G93-1,"")</f>
        <v>1.6323529411764706</v>
      </c>
      <c r="E10" s="473">
        <f>IFERROR(G97/G94-1,"")</f>
        <v>4.1899441340782051E-2</v>
      </c>
      <c r="F10" s="484">
        <f>IFERROR(G95/G94,"")</f>
        <v>-61.768156424581008</v>
      </c>
      <c r="G10" s="473">
        <f>IFERROR(G100/G97,"")</f>
        <v>-69.536193029490619</v>
      </c>
      <c r="H10" s="484">
        <f>IFERROR(G96/G94,"")</f>
        <v>-75.480446927374302</v>
      </c>
      <c r="I10" s="473">
        <f>+IFERROR(G105/G97,"")</f>
        <v>-74.160857908847191</v>
      </c>
      <c r="J10" s="494" cm="1">
        <f t="array" aca="1" ref="J10" ca="1">IFERROR(+(_FV(A10,"Market cap",TRUE)/1000+G$121-G$111)/G$94,"")</f>
        <v>7372.7681117318443</v>
      </c>
      <c r="K10" s="495" cm="1">
        <f t="array" aca="1" ref="K10" ca="1">IFERROR(+(_FV(A10,"Market cap",TRUE)/1000+G$121-G$111)/G$97,"")</f>
        <v>7076.2760965147454</v>
      </c>
      <c r="L10" s="500" cm="1">
        <f t="array" aca="1" ref="L10" ca="1">IFERROR(+(_FV(A10,"Market cap",TRUE)/1000+G$121-G$111)/G$95,"")</f>
        <v>-119.36195830506942</v>
      </c>
      <c r="M10" s="501" cm="1">
        <f t="array" aca="1" ref="M10" ca="1">IFERROR(+(_FV(A10,"Market cap",TRUE)/1000+G$121-G$111)/G$100,"")</f>
        <v>-101.76392736245519</v>
      </c>
      <c r="N10" s="388" cm="1">
        <f t="array" aca="1" ref="N10" ca="1">IFERROR(+(_FV(A10,"Market cap",TRUE)/1000)/G$96,"")</f>
        <v>-100.55565776034344</v>
      </c>
      <c r="O10" s="387" cm="1">
        <f t="array" aca="1" ref="O10" ca="1">IFERROR(+(_FV(A10,"Market cap",TRUE)/1000)/G$105,"")</f>
        <v>-98.229158556865016</v>
      </c>
      <c r="P10" s="386"/>
      <c r="Q10" s="386"/>
      <c r="R10" s="386"/>
      <c r="S10" s="390"/>
      <c r="T10" s="389"/>
      <c r="U10" s="389"/>
      <c r="V10" s="390"/>
      <c r="W10" s="389"/>
      <c r="X10" s="389"/>
      <c r="Y10" s="389"/>
      <c r="Z10" s="389"/>
      <c r="AA10" s="389"/>
      <c r="AB10" s="390"/>
      <c r="AC10" s="390"/>
      <c r="AD10" s="385"/>
      <c r="AE10" s="385"/>
      <c r="AF10" s="385"/>
      <c r="AG10" s="385"/>
      <c r="AH10" s="385"/>
      <c r="AI10" s="390"/>
      <c r="AJ10" s="390"/>
      <c r="AK10" s="390"/>
      <c r="AL10" s="391"/>
      <c r="AM10" s="392"/>
      <c r="AN10" s="393"/>
      <c r="AO10" s="390"/>
      <c r="AP10" s="390"/>
      <c r="AQ10" s="382"/>
      <c r="AR10" s="382"/>
      <c r="AS10" s="382"/>
      <c r="AT10" s="382"/>
      <c r="AU10" s="382"/>
      <c r="AV10" s="382"/>
      <c r="AW10" s="382"/>
      <c r="AX10" s="382"/>
      <c r="AY10" s="382"/>
      <c r="AZ10" s="382"/>
    </row>
    <row r="11" spans="1:52" s="352" customFormat="1" ht="1.35" customHeight="1">
      <c r="A11" s="405" t="str">
        <f>+H91</f>
        <v>N/A</v>
      </c>
      <c r="B11" s="383" t="str" cm="1">
        <f t="array" ref="B11">IFERROR(_FV(A11,"Name"),"")</f>
        <v/>
      </c>
      <c r="C11" s="384" t="str" cm="1">
        <f t="array" ref="C11">IFERROR(_FV(A11,"Ticker symbol",TRUE),"")</f>
        <v/>
      </c>
      <c r="D11" s="472" t="str">
        <f>IFERROR(H94/H93-1,"")</f>
        <v/>
      </c>
      <c r="E11" s="473" t="str">
        <f>IFERROR(H97/H94-1,"")</f>
        <v/>
      </c>
      <c r="F11" s="484" t="str">
        <f>IFERROR(H95/H94,"")</f>
        <v/>
      </c>
      <c r="G11" s="473" t="str">
        <f>IFERROR(H100/H97,"")</f>
        <v/>
      </c>
      <c r="H11" s="484" t="str">
        <f>IFERROR(H96/H94,"")</f>
        <v/>
      </c>
      <c r="I11" s="473" t="str">
        <f>+IFERROR(H105/H102,"")</f>
        <v/>
      </c>
      <c r="J11" s="494" t="str" cm="1">
        <f t="array" ref="J11">IFERROR((_FV(A11,"Market cap",TRUE)/1000000+H$121-H$111)/H$94,"")</f>
        <v/>
      </c>
      <c r="K11" s="495" t="str" cm="1">
        <f t="array" ref="K11">IFERROR(+(_FV(A11,"Market cap",TRUE)/1000000+H$121-H$111)/H$97,"")</f>
        <v/>
      </c>
      <c r="L11" s="500" t="str" cm="1">
        <f t="array" ref="L11">IFERROR(+(_FV(A11,"Market cap",TRUE)/1000000+H$121-H$111)/H$95,"")</f>
        <v/>
      </c>
      <c r="M11" s="501" t="str" cm="1">
        <f t="array" ref="M11">IFERROR(+(_FV(A11,"Market cap",TRUE)/1000000+H$121-H$111)/H$100,"")</f>
        <v/>
      </c>
      <c r="N11" s="388" t="str" cm="1">
        <f t="array" ref="N11">IFERROR(+(_FV(A11,"Market cap",TRUE)/1000000)/H$96,"")</f>
        <v/>
      </c>
      <c r="O11" s="387" t="str" cm="1">
        <f t="array" ref="O11">IFERROR(+(_FV(A11,"Market cap",TRUE)/1000000)/H$105,"")</f>
        <v/>
      </c>
      <c r="P11" s="386"/>
      <c r="Q11" s="386"/>
      <c r="R11" s="386"/>
      <c r="S11" s="390"/>
      <c r="T11" s="389"/>
      <c r="U11" s="389"/>
      <c r="V11" s="390"/>
      <c r="W11" s="389"/>
      <c r="X11" s="389"/>
      <c r="Y11" s="389"/>
      <c r="Z11" s="389"/>
      <c r="AA11" s="389"/>
      <c r="AB11" s="390"/>
      <c r="AC11" s="390"/>
      <c r="AD11" s="385"/>
      <c r="AE11" s="385"/>
      <c r="AF11" s="385"/>
      <c r="AG11" s="385"/>
      <c r="AH11" s="385"/>
      <c r="AI11" s="390"/>
      <c r="AJ11" s="390"/>
      <c r="AK11" s="390"/>
      <c r="AL11" s="391"/>
      <c r="AM11" s="392"/>
      <c r="AN11" s="393"/>
      <c r="AO11" s="390"/>
      <c r="AP11" s="390"/>
      <c r="AQ11" s="382"/>
      <c r="AR11" s="382"/>
      <c r="AS11" s="382"/>
      <c r="AT11" s="382"/>
      <c r="AU11" s="382"/>
      <c r="AV11" s="382"/>
      <c r="AW11" s="382"/>
      <c r="AX11" s="382"/>
      <c r="AY11" s="382"/>
      <c r="AZ11" s="382"/>
    </row>
    <row r="12" spans="1:52" s="352" customFormat="1" ht="2.1" customHeight="1">
      <c r="A12" s="405" t="str">
        <f>+I91</f>
        <v>N/A</v>
      </c>
      <c r="B12" s="383" t="str" cm="1">
        <f t="array" ref="B12">IFERROR(_FV(A12,"Name"),"")</f>
        <v/>
      </c>
      <c r="C12" s="384" t="str" cm="1">
        <f t="array" ref="C12">IFERROR(_FV(A12,"Ticker symbol",TRUE),"")</f>
        <v/>
      </c>
      <c r="D12" s="472" t="str">
        <f>+IFERROR(I94/I93-1,"")</f>
        <v/>
      </c>
      <c r="E12" s="473" t="str">
        <f>IFERROR(I97/I94-1,"")</f>
        <v/>
      </c>
      <c r="F12" s="484" t="str">
        <f>IFERROR(I95/I94,"")</f>
        <v/>
      </c>
      <c r="G12" s="473" t="str">
        <f>IFERROR(I100/I97,"")</f>
        <v/>
      </c>
      <c r="H12" s="484" t="str">
        <f>IFERROR(I96/I94,"")</f>
        <v/>
      </c>
      <c r="I12" s="473" t="str">
        <f>+IFERROR(I105/I97,"")</f>
        <v/>
      </c>
      <c r="J12" s="494" t="str" cm="1">
        <f t="array" ref="J12">IFERROR((_FV(A12,"Market cap",TRUE)/1000000+I$121-I$111)/I$94,"")</f>
        <v/>
      </c>
      <c r="K12" s="495" t="str" cm="1">
        <f t="array" ref="K12">IFERROR(+(_FV(A12,"Market cap",TRUE)/1000000+I$121-I$111)/I$97,"")</f>
        <v/>
      </c>
      <c r="L12" s="500" t="str" cm="1">
        <f t="array" ref="L12">IFERROR(+(_FV(A12,"Market cap",TRUE)/1000000+I$121-I$111)/I$95,"")</f>
        <v/>
      </c>
      <c r="M12" s="501" t="str" cm="1">
        <f t="array" ref="M12">IFERROR(+(_FV(A12,"Market cap",TRUE)/1000000+I$121-I$111)/I$100,"")</f>
        <v/>
      </c>
      <c r="N12" s="388" t="str" cm="1">
        <f t="array" ref="N12">IFERROR(+(_FV(A12,"Market cap",TRUE)/1000000)/I$96,"")</f>
        <v/>
      </c>
      <c r="O12" s="387" t="str" cm="1">
        <f t="array" ref="O12">IFERROR(+(_FV(A12,"Market cap",TRUE)/1000000)/I$105,"")</f>
        <v/>
      </c>
      <c r="P12" s="386"/>
      <c r="Q12" s="386"/>
      <c r="R12" s="386"/>
      <c r="S12" s="390"/>
      <c r="T12" s="389"/>
      <c r="U12" s="389"/>
      <c r="V12" s="390"/>
      <c r="W12" s="389"/>
      <c r="X12" s="389"/>
      <c r="Y12" s="389"/>
      <c r="Z12" s="389"/>
      <c r="AA12" s="389"/>
      <c r="AB12" s="390"/>
      <c r="AC12" s="390"/>
      <c r="AD12" s="385"/>
      <c r="AE12" s="385"/>
      <c r="AF12" s="385"/>
      <c r="AG12" s="385"/>
      <c r="AH12" s="385"/>
      <c r="AI12" s="390"/>
      <c r="AJ12" s="390"/>
      <c r="AK12" s="390"/>
      <c r="AL12" s="391"/>
      <c r="AM12" s="392"/>
      <c r="AN12" s="393"/>
      <c r="AO12" s="390"/>
      <c r="AP12" s="390"/>
      <c r="AQ12" s="382"/>
      <c r="AR12" s="382"/>
      <c r="AS12" s="382"/>
      <c r="AT12" s="382"/>
      <c r="AU12" s="382"/>
      <c r="AV12" s="382"/>
      <c r="AW12" s="382"/>
      <c r="AX12" s="382"/>
      <c r="AY12" s="382"/>
      <c r="AZ12" s="382"/>
    </row>
    <row r="13" spans="1:52" s="352" customFormat="1" ht="1.35" customHeight="1">
      <c r="A13" s="405" t="str">
        <f>+J91</f>
        <v>N/A</v>
      </c>
      <c r="B13" s="383" t="str" cm="1">
        <f t="array" ref="B13">IFERROR(_FV(A13,"Name"),"")</f>
        <v/>
      </c>
      <c r="C13" s="384" t="str" cm="1">
        <f t="array" ref="C13">IFERROR(_FV(A13,"Ticker symbol",TRUE),"")</f>
        <v/>
      </c>
      <c r="D13" s="472" t="str">
        <f>IFERROR(J94/J93-1,"")</f>
        <v/>
      </c>
      <c r="E13" s="473" t="str">
        <f>IFERROR(J97/J94-1,"")</f>
        <v/>
      </c>
      <c r="F13" s="484" t="str">
        <f>IFERROR(J95/J94,"")</f>
        <v/>
      </c>
      <c r="G13" s="473" t="str">
        <f>IFERROR(J100/J97,"")</f>
        <v/>
      </c>
      <c r="H13" s="490" t="str">
        <f>IFERROR(J96/J94,"")</f>
        <v/>
      </c>
      <c r="I13" s="473" t="str">
        <f>+IFERROR(J105/J97,"")</f>
        <v/>
      </c>
      <c r="J13" s="494" t="str" cm="1">
        <f t="array" ref="J13">IFERROR(+(_FV(A13,"Market cap",TRUE)/1000000+J$121-J$111)/J$94,"")</f>
        <v/>
      </c>
      <c r="K13" s="495" t="str" cm="1">
        <f t="array" ref="K13">IFERROR(+(_FV(A13,"Market cap",TRUE)/1000000+J$121-J$111)/J$97,"")</f>
        <v/>
      </c>
      <c r="L13" s="500" t="str" cm="1">
        <f t="array" ref="L13">IFERROR(+(_FV(A13,"Market cap",TRUE)/1000000+J$121-J$111)/J$95,"")</f>
        <v/>
      </c>
      <c r="M13" s="501" t="str" cm="1">
        <f t="array" ref="M13">IFERROR(+(_FV(A13,"Market cap",TRUE)/1000000+J$121-J$111)/J$100,"")</f>
        <v/>
      </c>
      <c r="N13" s="388" t="str" cm="1">
        <f t="array" ref="N13">IFERROR(+(_FV(A13,"Market cap",TRUE)/1000000)/J$96,"")</f>
        <v/>
      </c>
      <c r="O13" s="387" t="str" cm="1">
        <f t="array" ref="O13">IFERROR(+(_FV(A13,"Market cap",TRUE)/1000000)/J$105,"")</f>
        <v/>
      </c>
      <c r="P13" s="386"/>
      <c r="Q13" s="386"/>
      <c r="R13" s="386"/>
      <c r="S13" s="390"/>
      <c r="T13" s="389"/>
      <c r="U13" s="389"/>
      <c r="V13" s="390"/>
      <c r="W13" s="389"/>
      <c r="X13" s="389"/>
      <c r="Y13" s="389"/>
      <c r="Z13" s="389"/>
      <c r="AA13" s="389"/>
      <c r="AB13" s="390"/>
      <c r="AC13" s="390"/>
      <c r="AD13" s="385"/>
      <c r="AE13" s="385"/>
      <c r="AF13" s="385"/>
      <c r="AG13" s="385"/>
      <c r="AH13" s="385"/>
      <c r="AI13" s="390"/>
      <c r="AJ13" s="390"/>
      <c r="AK13" s="390"/>
      <c r="AL13" s="391"/>
      <c r="AM13" s="392"/>
      <c r="AN13" s="393"/>
      <c r="AO13" s="390"/>
      <c r="AP13" s="390"/>
      <c r="AQ13" s="382"/>
      <c r="AR13" s="382"/>
      <c r="AS13" s="382"/>
      <c r="AT13" s="382"/>
      <c r="AU13" s="382"/>
      <c r="AV13" s="382"/>
      <c r="AW13" s="382"/>
      <c r="AX13" s="382"/>
      <c r="AY13" s="382"/>
      <c r="AZ13" s="382"/>
    </row>
    <row r="14" spans="1:52" s="352" customFormat="1" ht="1.35" customHeight="1">
      <c r="A14" s="405" t="str">
        <f>+K91</f>
        <v>N/A</v>
      </c>
      <c r="B14" s="383" t="str" cm="1">
        <f t="array" ref="B14">IFERROR(_FV(A14,"Name"),"")</f>
        <v/>
      </c>
      <c r="C14" s="384" t="str" cm="1">
        <f t="array" ref="C14">IFERROR(_FV(A14,"Ticker symbol",TRUE),"")</f>
        <v/>
      </c>
      <c r="D14" s="472" t="str">
        <f>IFERROR(K94/K93-1,"")</f>
        <v/>
      </c>
      <c r="E14" s="473" t="str">
        <f>IFERROR(K97/K94-1,"")</f>
        <v/>
      </c>
      <c r="F14" s="484" t="str">
        <f>+IFERROR(K95/K94,"")</f>
        <v/>
      </c>
      <c r="G14" s="473" t="str">
        <f>IFERROR(K100/K97,"")</f>
        <v/>
      </c>
      <c r="H14" s="490" t="str">
        <f>IFERROR(K96/K94,"")</f>
        <v/>
      </c>
      <c r="I14" s="473" t="str">
        <f>+IFERROR(K105/K97,"")</f>
        <v/>
      </c>
      <c r="J14" s="494" t="str" cm="1">
        <f t="array" ref="J14">IFERROR((_FV(A14,"Market cap",TRUE)/1000000+D$121-K$111)/K$94,"")</f>
        <v/>
      </c>
      <c r="K14" s="495" t="str" cm="1">
        <f t="array" ref="K14">IFERROR(+(_FV(A14,"Market cap",TRUE)/1000000+D$121-K$111)/K$97,"")</f>
        <v/>
      </c>
      <c r="L14" s="500" t="str" cm="1">
        <f t="array" ref="L14">IFERROR(+(_FV(A14,"Market cap",TRUE)/1000000+D$121-K$111)/K$95,"")</f>
        <v/>
      </c>
      <c r="M14" s="501" t="str" cm="1">
        <f t="array" ref="M14">IFERROR(+(_FV(A14,"Market cap",TRUE)/1000000+D$121-K$111)/K$100,"")</f>
        <v/>
      </c>
      <c r="N14" s="388" t="str" cm="1">
        <f t="array" ref="N14">IFERROR(+(_FV(A14,"Market cap",TRUE)/1000000)/K$96,"")</f>
        <v/>
      </c>
      <c r="O14" s="387" t="str" cm="1">
        <f t="array" ref="O14">IFERROR(+(_FV(A14,"Market cap",TRUE)/1000000)/K$105,"")</f>
        <v/>
      </c>
      <c r="P14" s="386"/>
      <c r="Q14" s="386"/>
      <c r="R14" s="386"/>
      <c r="S14" s="390"/>
      <c r="T14" s="389"/>
      <c r="U14" s="389"/>
      <c r="V14" s="390"/>
      <c r="W14" s="389"/>
      <c r="X14" s="389"/>
      <c r="Y14" s="389"/>
      <c r="Z14" s="389"/>
      <c r="AA14" s="389"/>
      <c r="AB14" s="390"/>
      <c r="AC14" s="390"/>
      <c r="AD14" s="385"/>
      <c r="AE14" s="385"/>
      <c r="AF14" s="385"/>
      <c r="AG14" s="385"/>
      <c r="AH14" s="385"/>
      <c r="AI14" s="390"/>
      <c r="AJ14" s="390"/>
      <c r="AK14" s="390"/>
      <c r="AL14" s="391"/>
      <c r="AM14" s="392"/>
      <c r="AN14" s="393"/>
      <c r="AO14" s="390"/>
      <c r="AP14" s="390"/>
      <c r="AQ14" s="382"/>
      <c r="AR14" s="382"/>
      <c r="AS14" s="382"/>
      <c r="AT14" s="382"/>
      <c r="AU14" s="382"/>
      <c r="AV14" s="382"/>
      <c r="AW14" s="382"/>
      <c r="AX14" s="382"/>
      <c r="AY14" s="382"/>
      <c r="AZ14" s="382"/>
    </row>
    <row r="15" spans="1:52" s="352" customFormat="1" ht="1.35" customHeight="1">
      <c r="A15" s="405" t="str">
        <f>+L91</f>
        <v>N/A</v>
      </c>
      <c r="B15" s="383" t="str" cm="1">
        <f t="array" ref="B15">IFERROR(_FV(A15,"Name"),"")</f>
        <v/>
      </c>
      <c r="C15" s="384" t="str" cm="1">
        <f t="array" ref="C15">IFERROR(_FV(A15,"Ticker symbol",TRUE),"")</f>
        <v/>
      </c>
      <c r="D15" s="472" t="str">
        <f>+IFERROR(L94/L93,"")</f>
        <v/>
      </c>
      <c r="E15" s="473" t="str">
        <f>IFERROR(L97/L94,"")</f>
        <v/>
      </c>
      <c r="F15" s="484" t="str">
        <f>IFERROR(L95/L94,"")</f>
        <v/>
      </c>
      <c r="G15" s="473" t="str">
        <f>IFERROR(L100/L97,"")</f>
        <v/>
      </c>
      <c r="H15" s="490" t="str">
        <f>IFERROR(L96/L94,"")</f>
        <v/>
      </c>
      <c r="I15" s="473" t="str">
        <f>+IFERROR(L105/L97,"")</f>
        <v/>
      </c>
      <c r="J15" s="494" t="str" cm="1">
        <f t="array" ref="J15">IFERROR(+(_FV(A15,"Market cap",TRUE)/1000000+L$121-L$111)/L$94,"")</f>
        <v/>
      </c>
      <c r="K15" s="495" t="str" cm="1">
        <f t="array" ref="K15">IFERROR(+(_FV(A15,"Market cap",TRUE)/1000000+L$121-L$111)/L$97,"")</f>
        <v/>
      </c>
      <c r="L15" s="500" t="str" cm="1">
        <f t="array" ref="L15">IFERROR(+(_FV(A15,"Market cap",TRUE)/1000000+L$121-L$111)/L$95,"")</f>
        <v/>
      </c>
      <c r="M15" s="501" t="str" cm="1">
        <f t="array" ref="M15">IFERROR(+(_FV(A15,"Market cap",TRUE)/1000000+L$121-L$111)/L$100,"")</f>
        <v/>
      </c>
      <c r="N15" s="388" t="str" cm="1">
        <f t="array" ref="N15">IFERROR(+(_FV(A15,"Market cap",TRUE)/1000000)/L$96,"")</f>
        <v/>
      </c>
      <c r="O15" s="387" t="str" cm="1">
        <f t="array" ref="O15">IFERROR(+(_FV(A15,"Market cap",TRUE)/1000000)/L$105,"")</f>
        <v/>
      </c>
      <c r="P15" s="386"/>
      <c r="Q15" s="386"/>
      <c r="R15" s="386"/>
      <c r="S15" s="390"/>
      <c r="T15" s="389"/>
      <c r="U15" s="389"/>
      <c r="V15" s="390"/>
      <c r="W15" s="389"/>
      <c r="X15" s="389"/>
      <c r="Y15" s="389"/>
      <c r="Z15" s="389"/>
      <c r="AA15" s="389"/>
      <c r="AB15" s="390"/>
      <c r="AC15" s="390"/>
      <c r="AD15" s="385"/>
      <c r="AE15" s="385"/>
      <c r="AF15" s="385"/>
      <c r="AG15" s="385"/>
      <c r="AH15" s="385"/>
      <c r="AI15" s="390"/>
      <c r="AJ15" s="390"/>
      <c r="AK15" s="390"/>
      <c r="AL15" s="391"/>
      <c r="AM15" s="392"/>
      <c r="AN15" s="393"/>
      <c r="AO15" s="390"/>
      <c r="AP15" s="390"/>
      <c r="AQ15" s="382"/>
      <c r="AR15" s="382"/>
      <c r="AS15" s="382"/>
      <c r="AT15" s="382"/>
      <c r="AU15" s="382"/>
      <c r="AV15" s="382"/>
      <c r="AW15" s="382"/>
      <c r="AX15" s="382"/>
      <c r="AY15" s="382"/>
      <c r="AZ15" s="382"/>
    </row>
    <row r="16" spans="1:52" s="352" customFormat="1" ht="1.35" customHeight="1">
      <c r="A16" s="405" t="str">
        <f>+M91</f>
        <v>N/A</v>
      </c>
      <c r="B16" s="383" t="str" cm="1">
        <f t="array" ref="B16">IFERROR(_FV(A16,"Name"),"")</f>
        <v/>
      </c>
      <c r="C16" s="384" t="str" cm="1">
        <f t="array" ref="C16">IFERROR(_FV(A16,"Ticker symbol",TRUE),"")</f>
        <v/>
      </c>
      <c r="D16" s="472" t="str">
        <f>IFERROR(M94/M93-1,"")</f>
        <v/>
      </c>
      <c r="E16" s="473" t="str">
        <f>IFERROR(M97/M94-1,"")</f>
        <v/>
      </c>
      <c r="F16" s="484" t="str">
        <f>IFERROR(M95/M94,"")</f>
        <v/>
      </c>
      <c r="G16" s="473" t="str">
        <f>IFERROR(M100/M97,"")</f>
        <v/>
      </c>
      <c r="H16" s="490" t="str">
        <f>IFERROR(M96/M94,"")</f>
        <v/>
      </c>
      <c r="I16" s="473" t="str">
        <f>+IFERROR(M105/M97,"")</f>
        <v/>
      </c>
      <c r="J16" s="494" t="str" cm="1">
        <f t="array" ref="J16">IFERROR(+(_FV(A16,"Market cap",TRUE)/1000000+M$121-M$111)/M$94,"")</f>
        <v/>
      </c>
      <c r="K16" s="495" t="str" cm="1">
        <f t="array" ref="K16">IFERROR(+(_FV(A16,"Market cap",TRUE)/1000000+M$121-M$111)/M$97,"")</f>
        <v/>
      </c>
      <c r="L16" s="500" t="str" cm="1">
        <f t="array" ref="L16">IFERROR(+(_FV(A16,"Market cap",TRUE)/1000000+M$121-M$111)/M$95,"")</f>
        <v/>
      </c>
      <c r="M16" s="501" t="str" cm="1">
        <f t="array" ref="M16">IFERROR(+(_FV(A16,"Market cap",TRUE)/1000000+M$121-M$111)/M$100,"")</f>
        <v/>
      </c>
      <c r="N16" s="388" t="str" cm="1">
        <f t="array" ref="N16">IFERROR(+(_FV(A16,"Market cap",TRUE)/1000000)/M$96,"")</f>
        <v/>
      </c>
      <c r="O16" s="387" t="str" cm="1">
        <f t="array" ref="O16">IFERROR(+(_FV(A16,"Market cap",TRUE)/1000000)/M$105,"")</f>
        <v/>
      </c>
      <c r="P16" s="386"/>
      <c r="Q16" s="386"/>
      <c r="R16" s="386"/>
      <c r="S16" s="390"/>
      <c r="T16" s="389"/>
      <c r="U16" s="389"/>
      <c r="V16" s="390"/>
      <c r="W16" s="389"/>
      <c r="X16" s="389"/>
      <c r="Y16" s="389"/>
      <c r="Z16" s="389"/>
      <c r="AA16" s="389"/>
      <c r="AB16" s="390"/>
      <c r="AC16" s="390"/>
      <c r="AD16" s="385"/>
      <c r="AE16" s="385"/>
      <c r="AF16" s="385"/>
      <c r="AG16" s="385"/>
      <c r="AH16" s="385"/>
      <c r="AI16" s="390"/>
      <c r="AJ16" s="390"/>
      <c r="AK16" s="390"/>
      <c r="AL16" s="391"/>
      <c r="AM16" s="392"/>
      <c r="AN16" s="393"/>
      <c r="AO16" s="390"/>
      <c r="AP16" s="390"/>
      <c r="AQ16" s="382"/>
      <c r="AR16" s="382"/>
      <c r="AS16" s="382"/>
      <c r="AT16" s="382"/>
      <c r="AU16" s="382"/>
      <c r="AV16" s="382"/>
      <c r="AW16" s="382"/>
      <c r="AX16" s="382"/>
      <c r="AY16" s="382"/>
      <c r="AZ16" s="382"/>
    </row>
    <row r="17" spans="1:42" s="352" customFormat="1" ht="1.35" customHeight="1">
      <c r="A17" s="405" t="str">
        <f>+N91</f>
        <v>N/A</v>
      </c>
      <c r="B17" s="524" t="str" cm="1">
        <f t="array" ref="B17">IFERROR(_FV(A17,"Name"),"")</f>
        <v/>
      </c>
      <c r="C17" s="525" t="str" cm="1">
        <f t="array" ref="C17">+IFERROR(_FV(A17,"Ticker symbol",TRUE),"")</f>
        <v/>
      </c>
      <c r="D17" s="526" t="str">
        <f>IFERROR(N94/N93-1,"")</f>
        <v/>
      </c>
      <c r="E17" s="527" t="str">
        <f>IFERROR(N97/N94-1,"")</f>
        <v/>
      </c>
      <c r="F17" s="528" t="str">
        <f>IFERROR(N95/N94,"")</f>
        <v/>
      </c>
      <c r="G17" s="527" t="str">
        <f>IFERROR(N100/N97,"")</f>
        <v/>
      </c>
      <c r="H17" s="529" t="str">
        <f>IFERROR(N96/N94,"")</f>
        <v/>
      </c>
      <c r="I17" s="527" t="str">
        <f>+IFERROR(N105/N97,"")</f>
        <v/>
      </c>
      <c r="J17" s="530" t="str" cm="1">
        <f t="array" ref="J17">IFERROR(+(_FV(A17,"Market cap",TRUE)/1000000+N$121-N$111)/N$94,"")</f>
        <v/>
      </c>
      <c r="K17" s="531" t="str" cm="1">
        <f t="array" ref="K17">IFERROR(+(_FV(A17,"Market cap",TRUE)/1000000+N$121-N$111)/N$97,"")</f>
        <v/>
      </c>
      <c r="L17" s="532" t="str" cm="1">
        <f t="array" ref="L17">IFERROR(+(_FV(A17,"Market cap",TRUE)/1000000+N$121-N$111)/N$95,"")</f>
        <v/>
      </c>
      <c r="M17" s="533" t="str" cm="1">
        <f t="array" ref="M17">IFERROR(+(_FV(A17,"Market cap",TRUE)/1000000+N$121-N$111)/N$100,"")</f>
        <v/>
      </c>
      <c r="N17" s="534" t="str" cm="1">
        <f t="array" ref="N17">IFERROR(+(_FV(A17,"Market cap",TRUE)/1000000)/N$96,"")</f>
        <v/>
      </c>
      <c r="O17" s="535" t="str" cm="1">
        <f t="array" ref="O17">IFERROR(+(_FV(A17,"Market cap",TRUE)/1000000)/N$105,"")</f>
        <v/>
      </c>
      <c r="P17" s="386"/>
      <c r="Q17" s="386"/>
      <c r="R17" s="386"/>
      <c r="S17" s="390"/>
      <c r="T17" s="389"/>
      <c r="U17" s="389"/>
      <c r="V17" s="390"/>
      <c r="W17" s="389"/>
      <c r="X17" s="389"/>
      <c r="Y17" s="389"/>
      <c r="Z17" s="389"/>
      <c r="AA17" s="389"/>
      <c r="AB17" s="390"/>
      <c r="AC17" s="390"/>
      <c r="AD17" s="385"/>
      <c r="AE17" s="385"/>
      <c r="AF17" s="385"/>
      <c r="AG17" s="385"/>
      <c r="AH17" s="385"/>
      <c r="AI17" s="390"/>
      <c r="AJ17" s="390"/>
      <c r="AK17" s="390"/>
      <c r="AL17" s="391"/>
      <c r="AM17" s="392"/>
      <c r="AN17" s="393"/>
      <c r="AO17" s="390"/>
      <c r="AP17" s="390"/>
    </row>
    <row r="18" spans="1:42" s="349" customFormat="1" ht="15.75" customHeight="1">
      <c r="A18" s="405"/>
      <c r="B18" s="351" t="s">
        <v>196</v>
      </c>
      <c r="C18" s="351"/>
      <c r="D18" s="474">
        <f t="shared" ref="D18:O18" si="0">IFERROR(AVERAGE(D6:D17),"")</f>
        <v>0.68751428360960221</v>
      </c>
      <c r="E18" s="475">
        <f t="shared" si="0"/>
        <v>0.22561964819607611</v>
      </c>
      <c r="F18" s="485">
        <f t="shared" si="0"/>
        <v>-20.55534953650821</v>
      </c>
      <c r="G18" s="475">
        <f t="shared" si="0"/>
        <v>-22.399444773476763</v>
      </c>
      <c r="H18" s="491">
        <f t="shared" si="0"/>
        <v>-24.583817616121053</v>
      </c>
      <c r="I18" s="492">
        <f t="shared" si="0"/>
        <v>-25.987251617668342</v>
      </c>
      <c r="J18" s="496">
        <f t="shared" ca="1" si="0"/>
        <v>2327.7573103305695</v>
      </c>
      <c r="K18" s="497">
        <f t="shared" ca="1" si="0"/>
        <v>2176.4179304620661</v>
      </c>
      <c r="L18" s="496">
        <f t="shared" ca="1" si="0"/>
        <v>-102.36974260690084</v>
      </c>
      <c r="M18" s="497">
        <f t="shared" ca="1" si="0"/>
        <v>-86.481359385347574</v>
      </c>
      <c r="N18" s="367">
        <f t="shared" ca="1" si="0"/>
        <v>-90.377748481932869</v>
      </c>
      <c r="O18" s="367">
        <f t="shared" ca="1" si="0"/>
        <v>-77.426984662029852</v>
      </c>
      <c r="P18" s="514"/>
      <c r="Q18" s="406"/>
      <c r="R18" s="406"/>
      <c r="S18" s="400"/>
      <c r="T18" s="406"/>
      <c r="U18" s="406"/>
      <c r="V18" s="400"/>
      <c r="W18" s="406"/>
      <c r="X18" s="406"/>
      <c r="Y18" s="406"/>
      <c r="Z18" s="406"/>
      <c r="AA18" s="406"/>
      <c r="AB18" s="406"/>
      <c r="AC18" s="400"/>
      <c r="AD18" s="406"/>
      <c r="AE18" s="406"/>
      <c r="AF18" s="406"/>
      <c r="AG18" s="406"/>
      <c r="AH18" s="406"/>
      <c r="AI18" s="400"/>
      <c r="AJ18" s="407"/>
      <c r="AK18" s="400"/>
      <c r="AL18" s="407"/>
      <c r="AM18" s="403"/>
      <c r="AN18" s="407"/>
      <c r="AO18" s="400"/>
      <c r="AP18" s="407"/>
    </row>
    <row r="19" spans="1:42" s="349" customFormat="1" ht="15.75" customHeight="1">
      <c r="A19" s="405"/>
      <c r="B19" s="408" t="s">
        <v>197</v>
      </c>
      <c r="C19" s="351"/>
      <c r="D19" s="476">
        <f>IFERROR(+D18-D6,"")</f>
        <v>-0.29272109506257449</v>
      </c>
      <c r="E19" s="477">
        <f>IFERROR(E18-E6,"")</f>
        <v>-0.72851337058624854</v>
      </c>
      <c r="F19" s="486">
        <f>+IFERROR(F18-F6,"")</f>
        <v>-13.869068799732963</v>
      </c>
      <c r="G19" s="477">
        <f>IFERROR(G18-G6,"")</f>
        <v>-17.435755223178433</v>
      </c>
      <c r="H19" s="486">
        <f>IFERROR(+H6-H18,"")</f>
        <v>17.42824879296526</v>
      </c>
      <c r="I19" s="477">
        <f>+IFERROR(I6-I18,"")</f>
        <v>18.288970583145556</v>
      </c>
      <c r="J19" s="523">
        <f ca="1">+IFERROR(J6-J18,"")</f>
        <v>-1586.524869581091</v>
      </c>
      <c r="K19" s="498">
        <f ca="1">+IFERROR(K6-K18,"")</f>
        <v>-1797.1026875256557</v>
      </c>
      <c r="L19" s="523">
        <f ca="1">IFERROR(+L6-L18,"")</f>
        <v>-8.4889649362362434</v>
      </c>
      <c r="M19" s="498">
        <f ca="1">IFERROR(M6-M18,"")</f>
        <v>10.063356387232503</v>
      </c>
      <c r="N19" s="523">
        <f ca="1">IFERROR(+N6-N18,"")</f>
        <v>-13.442927485475522</v>
      </c>
      <c r="O19" s="523">
        <f ca="1">IFERROR(+O6-O18,"")</f>
        <v>28.043682053415708</v>
      </c>
      <c r="P19" s="515"/>
      <c r="Q19" s="401"/>
      <c r="R19" s="401"/>
      <c r="S19" s="400"/>
      <c r="T19" s="401" cm="1">
        <f t="array" aca="1" ref="T19" ca="1">_FV(A6,"Market cap",TRUE)</f>
        <v>16374913459</v>
      </c>
      <c r="U19" s="401"/>
      <c r="V19" s="400"/>
      <c r="W19" s="401"/>
      <c r="X19" s="401"/>
      <c r="Y19" s="401"/>
      <c r="Z19" s="401"/>
      <c r="AA19" s="401"/>
      <c r="AB19" s="401"/>
      <c r="AC19" s="400"/>
      <c r="AD19" s="401"/>
      <c r="AE19" s="401"/>
      <c r="AF19" s="401"/>
      <c r="AG19" s="401"/>
      <c r="AH19" s="401"/>
      <c r="AI19" s="400"/>
      <c r="AJ19" s="409"/>
      <c r="AK19" s="400"/>
      <c r="AL19" s="409"/>
      <c r="AM19" s="400"/>
      <c r="AN19" s="409"/>
      <c r="AO19" s="400"/>
      <c r="AP19" s="409"/>
    </row>
    <row r="20" spans="1:42" s="349" customFormat="1" ht="14.25" customHeight="1">
      <c r="A20" s="373"/>
      <c r="B20" s="373"/>
      <c r="C20" s="373"/>
      <c r="D20" s="373"/>
      <c r="E20" s="373"/>
      <c r="F20" s="373"/>
      <c r="G20" s="373"/>
      <c r="H20" s="373"/>
      <c r="I20" s="373"/>
      <c r="J20" s="373"/>
      <c r="K20" s="373"/>
      <c r="L20" s="373"/>
      <c r="M20" s="373"/>
      <c r="N20" s="373"/>
      <c r="O20" s="373"/>
      <c r="P20" s="411"/>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row>
    <row r="21" spans="1:42" s="349" customFormat="1" ht="15">
      <c r="A21" s="373"/>
      <c r="B21" s="410"/>
      <c r="C21" s="410"/>
      <c r="D21" s="875" t="s">
        <v>198</v>
      </c>
      <c r="E21" s="875"/>
      <c r="F21" s="875"/>
      <c r="G21" s="587" t="s">
        <v>199</v>
      </c>
      <c r="H21" s="587" t="s">
        <v>200</v>
      </c>
      <c r="I21" s="587" t="s">
        <v>201</v>
      </c>
      <c r="J21" s="875" t="s">
        <v>202</v>
      </c>
      <c r="K21" s="875"/>
      <c r="L21" s="875"/>
      <c r="M21" s="875" t="s">
        <v>203</v>
      </c>
      <c r="N21" s="875"/>
      <c r="O21" s="875"/>
      <c r="P21" s="512"/>
      <c r="Q21" s="411"/>
      <c r="R21" s="411"/>
      <c r="S21" s="411"/>
      <c r="T21" s="411"/>
      <c r="U21" s="411"/>
      <c r="V21" s="411"/>
      <c r="W21" s="411"/>
      <c r="X21" s="411"/>
      <c r="Y21" s="373"/>
      <c r="Z21" s="373"/>
      <c r="AA21" s="373"/>
      <c r="AB21" s="373"/>
      <c r="AC21" s="373"/>
      <c r="AD21" s="373"/>
      <c r="AE21" s="373"/>
      <c r="AF21" s="373"/>
      <c r="AG21" s="373"/>
      <c r="AH21" s="373"/>
      <c r="AI21" s="373"/>
      <c r="AJ21" s="373"/>
      <c r="AK21" s="373"/>
      <c r="AL21" s="373"/>
      <c r="AM21" s="373"/>
      <c r="AN21" s="373"/>
      <c r="AO21" s="373"/>
      <c r="AP21" s="373"/>
    </row>
    <row r="22" spans="1:42" s="349" customFormat="1" ht="14.25" customHeight="1">
      <c r="A22" s="373"/>
      <c r="B22" s="412" t="s">
        <v>204</v>
      </c>
      <c r="C22" s="410"/>
      <c r="D22" s="376" t="s">
        <v>205</v>
      </c>
      <c r="E22" s="376" t="s">
        <v>206</v>
      </c>
      <c r="F22" s="376" t="s">
        <v>207</v>
      </c>
      <c r="G22" s="376" t="s">
        <v>208</v>
      </c>
      <c r="H22" s="376" t="s">
        <v>209</v>
      </c>
      <c r="I22" s="376" t="s">
        <v>210</v>
      </c>
      <c r="J22" s="376" t="s">
        <v>205</v>
      </c>
      <c r="K22" s="376" t="s">
        <v>206</v>
      </c>
      <c r="L22" s="376" t="s">
        <v>207</v>
      </c>
      <c r="M22" s="376" t="s">
        <v>205</v>
      </c>
      <c r="N22" s="376" t="s">
        <v>206</v>
      </c>
      <c r="O22" s="376" t="s">
        <v>207</v>
      </c>
      <c r="P22" s="512" t="s">
        <v>211</v>
      </c>
      <c r="Q22" s="411"/>
      <c r="R22" s="411"/>
      <c r="S22" s="411"/>
      <c r="T22" s="411"/>
      <c r="U22" s="411"/>
      <c r="V22" s="411"/>
      <c r="W22" s="411"/>
      <c r="X22" s="411"/>
      <c r="Y22" s="373"/>
      <c r="Z22" s="373"/>
      <c r="AA22" s="373"/>
      <c r="AB22" s="373"/>
      <c r="AC22" s="373"/>
      <c r="AD22" s="373"/>
      <c r="AE22" s="373"/>
      <c r="AF22" s="373"/>
      <c r="AG22" s="373"/>
      <c r="AH22" s="373"/>
      <c r="AI22" s="373"/>
      <c r="AJ22" s="373"/>
      <c r="AK22" s="373"/>
      <c r="AL22" s="373"/>
      <c r="AM22" s="373"/>
      <c r="AN22" s="373"/>
      <c r="AO22" s="373"/>
      <c r="AP22" s="373"/>
    </row>
    <row r="23" spans="1:42" s="349" customFormat="1" ht="3.75" customHeight="1">
      <c r="A23" s="373"/>
      <c r="B23" s="413"/>
      <c r="C23" s="414"/>
      <c r="D23" s="507"/>
      <c r="E23" s="509"/>
      <c r="F23" s="504"/>
      <c r="G23" s="507"/>
      <c r="H23" s="509"/>
      <c r="I23" s="504"/>
      <c r="J23" s="414"/>
      <c r="K23" s="414"/>
      <c r="L23" s="504"/>
      <c r="M23" s="414"/>
      <c r="N23" s="414"/>
      <c r="O23" s="414"/>
      <c r="P23" s="513"/>
      <c r="Q23" s="411"/>
      <c r="R23" s="411"/>
      <c r="S23" s="411"/>
      <c r="T23" s="411"/>
      <c r="U23" s="411"/>
      <c r="V23" s="411"/>
      <c r="W23" s="411"/>
      <c r="X23" s="411"/>
      <c r="Y23" s="373"/>
      <c r="Z23" s="373"/>
      <c r="AA23" s="373"/>
      <c r="AB23" s="373"/>
      <c r="AC23" s="373"/>
      <c r="AD23" s="373"/>
      <c r="AE23" s="373"/>
      <c r="AF23" s="373"/>
      <c r="AG23" s="373"/>
      <c r="AH23" s="373"/>
      <c r="AI23" s="373"/>
      <c r="AJ23" s="373"/>
      <c r="AK23" s="373"/>
      <c r="AL23" s="373"/>
      <c r="AM23" s="373"/>
      <c r="AN23" s="373"/>
      <c r="AO23" s="373"/>
      <c r="AP23" s="373"/>
    </row>
    <row r="24" spans="1:42" s="349" customFormat="1">
      <c r="A24" s="373"/>
      <c r="B24" s="373" t="s">
        <v>212</v>
      </c>
      <c r="C24" s="373"/>
      <c r="D24" s="508">
        <f ca="1">IFERROR(SMALL(K6:K17,2),"")</f>
        <v>575.42726061167753</v>
      </c>
      <c r="E24" s="510">
        <f ca="1">IFERROR(SMALL(M6:M17,2),"")</f>
        <v>-90.627063815501387</v>
      </c>
      <c r="F24" s="505">
        <f ca="1">IFERROR(SMALL(O6:O17,2),"")</f>
        <v>-81.110517664414942</v>
      </c>
      <c r="G24" s="508">
        <f>-Inputs!$Q$99+Inputs!$Q$100</f>
        <v>-322564</v>
      </c>
      <c r="H24" s="510">
        <f>+Inputs!$Q$101</f>
        <v>0</v>
      </c>
      <c r="I24" s="505">
        <f>+Inputs!$Q$102</f>
        <v>0</v>
      </c>
      <c r="J24" s="415">
        <f ca="1">IFERROR(+D24*$D$97+G24+H24+I24,"")</f>
        <v>24462814.396326788</v>
      </c>
      <c r="K24" s="415">
        <f ca="1">IFERROR(E24*$D$100+G24+H24+I24,"")</f>
        <v>19053592.870818011</v>
      </c>
      <c r="L24" s="506">
        <f ca="1">IFERROR(F24*$D$105,"")</f>
        <v>26895279.116828565</v>
      </c>
      <c r="M24" s="511" cm="1">
        <f t="array" aca="1" ref="M24" ca="1">IFERROR(+(J24/_FV($A$6,"Shares outstanding",TRUE)*1000000)/$P$24-1,"")</f>
        <v>1492.9202248169879</v>
      </c>
      <c r="N24" s="511" cm="1">
        <f t="array" aca="1" ref="N24" ca="1">IFERROR((+K24/_FV($A$6,"Shares outstanding",TRUE)*1000000)/$P$24-1,"")</f>
        <v>1162.5843400511551</v>
      </c>
      <c r="O24" s="511" cm="1">
        <f t="array" aca="1" ref="O24" ca="1">IFERROR(+(L24/_FV($A$6,"Shares outstanding",TRUE)*1000000)/$P$24-1,"")</f>
        <v>1641.4684737321681</v>
      </c>
      <c r="P24" s="516" cm="1">
        <f t="array" aca="1" ref="P24" ca="1">+_FV(A6,"Price")</f>
        <v>55.008000000000003</v>
      </c>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row>
    <row r="25" spans="1:42" ht="15">
      <c r="B25" s="373" t="s">
        <v>196</v>
      </c>
      <c r="C25" s="373"/>
      <c r="D25" s="508">
        <f ca="1">+IFERROR(AVERAGE(K6:K17),"")</f>
        <v>2176.4179304620661</v>
      </c>
      <c r="E25" s="510">
        <f ca="1">IFERROR(+AVERAGE(M6:M17),"")</f>
        <v>-86.481359385347574</v>
      </c>
      <c r="F25" s="505">
        <f ca="1">IFERROR(+AVERAGE(O6:O17),"")</f>
        <v>-77.426984662029852</v>
      </c>
      <c r="G25" s="508">
        <f>-Inputs!$Q$99+Inputs!$Q$100</f>
        <v>-322564</v>
      </c>
      <c r="H25" s="510">
        <f>+Inputs!$Q$101</f>
        <v>0</v>
      </c>
      <c r="I25" s="505">
        <f>+Inputs!$Q$102</f>
        <v>0</v>
      </c>
      <c r="J25" s="415">
        <f ca="1">IFERROR(+D25*$D$97+G25+H25+I25,"")</f>
        <v>93422285.51879257</v>
      </c>
      <c r="K25" s="415">
        <f ca="1">IFERROR(E25*$D$100+G25+H25+I25,"")</f>
        <v>18167237.117946696</v>
      </c>
      <c r="L25" s="506">
        <f ca="1">IFERROR(+F25*$D$105,"")</f>
        <v>25673863.558305249</v>
      </c>
      <c r="M25" s="511" cm="1">
        <f t="array" aca="1" ref="M25" ca="1">IFERROR(+(J25/_FV($A$6,"Shares outstanding",TRUE)*1000000)/$P$24-1,"")</f>
        <v>5704.2078932548275</v>
      </c>
      <c r="N25" s="511" cm="1">
        <f t="array" aca="1" ref="N25" ca="1">IFERROR((+K25/_FV($A$6,"Shares outstanding",TRUE)*1000000)/$P$24-1,"")</f>
        <v>1108.4554583883742</v>
      </c>
      <c r="O25" s="511" cm="1">
        <f t="array" aca="1" ref="O25" ca="1">IFERROR(+(L25/_FV($A$6,"Shares outstanding",TRUE)*1000000)/$P$24-1,"")</f>
        <v>1566.8778164095133</v>
      </c>
      <c r="P25" s="512"/>
    </row>
    <row r="26" spans="1:42" s="349" customFormat="1">
      <c r="A26" s="373"/>
      <c r="B26" s="373" t="s">
        <v>213</v>
      </c>
      <c r="C26" s="373"/>
      <c r="D26" s="508">
        <f ca="1">IFERROR(MEDIAN(K6:K17),"")</f>
        <v>625.04019119855434</v>
      </c>
      <c r="E26" s="510">
        <f ca="1">IFERROR(MEDIAN(M6:M17),"")</f>
        <v>-83.871753590410009</v>
      </c>
      <c r="F26" s="505">
        <f ca="1">IFERROR(MEDIAN(O6:O17),"")</f>
        <v>-81.047738741320131</v>
      </c>
      <c r="G26" s="508">
        <f>-Inputs!$Q$99+Inputs!$Q$100</f>
        <v>-322564</v>
      </c>
      <c r="H26" s="510">
        <f>+Inputs!$Q$101</f>
        <v>0</v>
      </c>
      <c r="I26" s="505">
        <f>+Inputs!$Q$102</f>
        <v>0</v>
      </c>
      <c r="J26" s="415">
        <f ca="1">IFERROR(D26*$D$97+G26+H26+I26,"")</f>
        <v>26599792.155495331</v>
      </c>
      <c r="K26" s="415">
        <f ca="1">IFERROR(E26*$D$100+G26+H26+I26,"")</f>
        <v>17609300.789383251</v>
      </c>
      <c r="L26" s="506">
        <f ca="1">IFERROR(+F26*$D$105,"")</f>
        <v>26874462.375573445</v>
      </c>
      <c r="M26" s="511" cm="1">
        <f t="array" aca="1" ref="M26" ca="1">IFERROR(+(J26/_FV($A$6,"Shares outstanding",TRUE)*1000000)/$P$24-1,"")</f>
        <v>1623.4233730927376</v>
      </c>
      <c r="N26" s="511" cm="1">
        <f t="array" aca="1" ref="N26" ca="1">IFERROR((+K26/_FV($A$6,"Shares outstanding",TRUE)*1000000)/$P$24-1,"")</f>
        <v>1074.382830770915</v>
      </c>
      <c r="O26" s="511" cm="1">
        <f t="array" aca="1" ref="O26" ca="1">+IFERROR((L26/_FV($A$6,"Shares outstanding",TRUE)*1000000)/$P$24-1,"")</f>
        <v>1640.1972156392942</v>
      </c>
      <c r="P26" s="513"/>
      <c r="Q26" s="373"/>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row>
    <row r="27" spans="1:42" s="349" customFormat="1">
      <c r="A27" s="373"/>
      <c r="B27" s="373" t="s">
        <v>214</v>
      </c>
      <c r="C27" s="373"/>
      <c r="D27" s="508">
        <f ca="1">IFERROR(LARGE(K6:K17,2),"")</f>
        <v>674.65312178543104</v>
      </c>
      <c r="E27" s="510">
        <f ca="1">IFERROR(LARGE(M6:M17,2),"")</f>
        <v>-77.116443365318617</v>
      </c>
      <c r="F27" s="505">
        <f ca="1">IFERROR(LARGE(O6:O17,2),"")</f>
        <v>-80.984959818225306</v>
      </c>
      <c r="G27" s="508">
        <f>-Inputs!$Q$99+Inputs!$Q$100</f>
        <v>-322564</v>
      </c>
      <c r="H27" s="510">
        <f>+Inputs!$Q$101</f>
        <v>0</v>
      </c>
      <c r="I27" s="505">
        <f>+Inputs!$Q$102</f>
        <v>0</v>
      </c>
      <c r="J27" s="415">
        <f ca="1">IFERROR(+D27*$D$97+G27+H27+I27,"")</f>
        <v>28736769.91466387</v>
      </c>
      <c r="K27" s="415">
        <f ca="1">IFERROR(E27*$D$100+G27+H27+I27,"")</f>
        <v>16165008.707948485</v>
      </c>
      <c r="L27" s="506">
        <f ca="1">IFERROR(+F27*$D$105,"")</f>
        <v>26853645.634318322</v>
      </c>
      <c r="M27" s="511" cm="1">
        <f t="array" aca="1" ref="M27" ca="1">IFERROR(+(J27/_FV($A$6,"Shares outstanding",TRUE)*1000000)/$P$24-1,"")</f>
        <v>1753.9265213684866</v>
      </c>
      <c r="N27" s="511" cm="1">
        <f t="array" aca="1" ref="N27" ca="1">IFERROR((+K27/_FV($A$6,"Shares outstanding",TRUE)*1000000)/$P$24-1,"")</f>
        <v>986.18132149067435</v>
      </c>
      <c r="O27" s="511" cm="1">
        <f t="array" aca="1" ref="O27" ca="1">IFERROR(+(L27/_FV($A$6,"Shares outstanding",TRUE)*1000000)/$P$24-1,"")</f>
        <v>1638.92595754642</v>
      </c>
      <c r="P27" s="51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row>
    <row r="28" spans="1:42" s="349" customFormat="1" ht="14.25" customHeight="1">
      <c r="A28" s="373"/>
      <c r="B28" s="373"/>
      <c r="C28" s="373"/>
      <c r="D28" s="373"/>
      <c r="E28" s="373"/>
      <c r="F28" s="373"/>
      <c r="G28" s="373"/>
      <c r="H28" s="373"/>
      <c r="I28" s="373"/>
      <c r="J28" s="373"/>
      <c r="K28" s="373"/>
      <c r="L28" s="373"/>
      <c r="M28" s="373"/>
      <c r="N28" s="373"/>
      <c r="O28" s="417"/>
      <c r="P28" s="373"/>
      <c r="Q28" s="373"/>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row>
    <row r="29" spans="1:42" s="352" customFormat="1" ht="14.25" customHeight="1">
      <c r="A29" s="382"/>
      <c r="B29" s="584" t="s">
        <v>215</v>
      </c>
      <c r="C29" s="585"/>
      <c r="D29" s="359" t="str">
        <f ca="1">+LEFT(B6, FIND(" ", B6 &amp; " ") - 1)</f>
        <v>IONQ,</v>
      </c>
      <c r="E29" s="359" t="str">
        <f ca="1">+LEFT(B8, FIND(" ", B8 &amp; " ") - 1)</f>
        <v>RIGETTI</v>
      </c>
      <c r="F29" s="359" t="str">
        <f ca="1">+LEFT(B9, FIND(" ", B9 &amp; " ") - 1)</f>
        <v>D-WAVE</v>
      </c>
      <c r="G29" s="359" t="str">
        <f ca="1">+LEFT(B10, FIND(" ", B10 &amp; " ") - 1)</f>
        <v>QUANTUM</v>
      </c>
      <c r="H29" s="359" t="str">
        <f>+LEFT(B11, FIND(" ", B11 &amp; " ") - 1)</f>
        <v/>
      </c>
      <c r="I29" s="359" t="str">
        <f>+LEFT(B12, FIND(" ", B12 &amp; " ") - 1)</f>
        <v/>
      </c>
      <c r="J29" s="359" t="str">
        <f>+LEFT(B13, FIND(" ", B13 &amp; " ") - 1)</f>
        <v/>
      </c>
      <c r="K29" s="359" t="str">
        <f>+LEFT(B14, FIND(" ", B14 &amp; " ") - 1)</f>
        <v/>
      </c>
      <c r="L29" s="359" t="str">
        <f>+LEFT(B15, FIND(" ", B15 &amp; " ") - 1)</f>
        <v/>
      </c>
      <c r="M29" s="359" t="str">
        <f>+LEFT(B16, FIND(" ", B16 &amp; " ") - 1)</f>
        <v/>
      </c>
      <c r="N29" s="359" t="str">
        <f>+LEFT(B17, FIND(" ", B17 &amp; " ") - 1)</f>
        <v/>
      </c>
      <c r="O29" s="418" t="s">
        <v>196</v>
      </c>
      <c r="P29" s="382"/>
      <c r="Q29" s="382" t="s">
        <v>216</v>
      </c>
      <c r="R29" s="382"/>
      <c r="S29" s="382"/>
      <c r="T29" s="382"/>
      <c r="U29" s="382"/>
      <c r="V29" s="382"/>
      <c r="W29" s="382"/>
      <c r="X29" s="382"/>
      <c r="Y29" s="382"/>
      <c r="Z29" s="382"/>
      <c r="AA29" s="382"/>
      <c r="AB29" s="382"/>
      <c r="AC29" s="382"/>
      <c r="AD29" s="382"/>
      <c r="AE29" s="382"/>
      <c r="AF29" s="382"/>
      <c r="AG29" s="382"/>
      <c r="AH29" s="382"/>
      <c r="AI29" s="382"/>
      <c r="AJ29" s="382"/>
      <c r="AK29" s="382"/>
      <c r="AL29" s="382"/>
      <c r="AM29" s="382"/>
      <c r="AN29" s="382"/>
      <c r="AO29" s="382"/>
      <c r="AP29" s="382"/>
    </row>
    <row r="30" spans="1:42" s="349" customFormat="1" ht="3.75" customHeight="1">
      <c r="A30" s="373"/>
      <c r="B30" s="408"/>
      <c r="C30" s="408"/>
      <c r="D30" s="408"/>
      <c r="E30" s="408"/>
      <c r="F30" s="408"/>
      <c r="G30" s="408"/>
      <c r="H30" s="408"/>
      <c r="I30" s="408"/>
      <c r="J30" s="408"/>
      <c r="K30" s="408"/>
      <c r="L30" s="408"/>
      <c r="M30" s="408"/>
      <c r="N30" s="408"/>
      <c r="O30" s="419"/>
      <c r="P30" s="373"/>
      <c r="Q30" s="373"/>
      <c r="R30" s="420"/>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row>
    <row r="31" spans="1:42" s="349" customFormat="1" ht="14.25" customHeight="1">
      <c r="A31" s="373"/>
      <c r="B31" s="373" t="s">
        <v>217</v>
      </c>
      <c r="C31" s="373"/>
      <c r="D31" s="421">
        <f>IFERROR(D101/D97,"")</f>
        <v>-5.3967682771109509</v>
      </c>
      <c r="E31" s="421">
        <f t="shared" ref="E31:N31" si="1">IFERROR(E101/E97,"")</f>
        <v>-6.9894346617238181</v>
      </c>
      <c r="F31" s="421">
        <f t="shared" si="1"/>
        <v>-8.9673728333522149</v>
      </c>
      <c r="G31" s="421">
        <f t="shared" si="1"/>
        <v>-79.718498659517422</v>
      </c>
      <c r="H31" s="421" t="str">
        <f t="shared" si="1"/>
        <v/>
      </c>
      <c r="I31" s="421" t="str">
        <f t="shared" si="1"/>
        <v/>
      </c>
      <c r="J31" s="421" t="str">
        <f t="shared" si="1"/>
        <v/>
      </c>
      <c r="K31" s="421" t="str">
        <f t="shared" si="1"/>
        <v/>
      </c>
      <c r="L31" s="421" t="str">
        <f t="shared" si="1"/>
        <v/>
      </c>
      <c r="M31" s="421" t="str">
        <f t="shared" si="1"/>
        <v/>
      </c>
      <c r="N31" s="421" t="str">
        <f t="shared" si="1"/>
        <v/>
      </c>
      <c r="O31" s="646">
        <f t="shared" ref="O31:O36" si="2">IFERROR(+AVERAGE(D31:N31),"")</f>
        <v>-25.268018607926102</v>
      </c>
      <c r="P31" s="373"/>
      <c r="Q31" s="373"/>
      <c r="R31" s="420"/>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row>
    <row r="32" spans="1:42" s="349" customFormat="1" ht="14.25" customHeight="1">
      <c r="A32" s="373"/>
      <c r="B32" s="373" t="s">
        <v>43</v>
      </c>
      <c r="C32" s="373"/>
      <c r="D32" s="421">
        <f>IFERROR(D105/D97,"")</f>
        <v>-7.698281034522787</v>
      </c>
      <c r="E32" s="421">
        <f>IFERROR(E105/E97,"")</f>
        <v>-7.1616311399443928</v>
      </c>
      <c r="F32" s="421">
        <f t="shared" ref="F32:N32" si="3">IFERROR(F105/F97,"")</f>
        <v>-8.5258864846493712</v>
      </c>
      <c r="G32" s="421">
        <f t="shared" si="3"/>
        <v>-74.160857908847191</v>
      </c>
      <c r="H32" s="421" t="str">
        <f t="shared" si="3"/>
        <v/>
      </c>
      <c r="I32" s="421" t="str">
        <f t="shared" si="3"/>
        <v/>
      </c>
      <c r="J32" s="421" t="str">
        <f t="shared" si="3"/>
        <v/>
      </c>
      <c r="K32" s="421" t="str">
        <f t="shared" si="3"/>
        <v/>
      </c>
      <c r="L32" s="421" t="str">
        <f t="shared" si="3"/>
        <v/>
      </c>
      <c r="M32" s="421" t="str">
        <f t="shared" si="3"/>
        <v/>
      </c>
      <c r="N32" s="421" t="str">
        <f t="shared" si="3"/>
        <v/>
      </c>
      <c r="O32" s="646">
        <f t="shared" si="2"/>
        <v>-24.386664141990934</v>
      </c>
      <c r="P32" s="373"/>
      <c r="Q32" s="373"/>
      <c r="R32" s="420"/>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row>
    <row r="33" spans="2:18" s="349" customFormat="1" ht="14.25" customHeight="1">
      <c r="B33" s="373" t="s">
        <v>218</v>
      </c>
      <c r="C33" s="373"/>
      <c r="D33" s="421">
        <f>IFERROR(D105/D117,"")</f>
        <v>-0.6522342364493261</v>
      </c>
      <c r="E33" s="421">
        <f>IFERROR(E105/E117,"")</f>
        <v>-0.27133963277818157</v>
      </c>
      <c r="F33" s="421">
        <f t="shared" ref="F33:N33" si="4">IFERROR(F105/F117,"")</f>
        <v>-0.37656677658078685</v>
      </c>
      <c r="G33" s="421">
        <f t="shared" si="4"/>
        <v>-0.18013922987255712</v>
      </c>
      <c r="H33" s="421" t="str">
        <f t="shared" si="4"/>
        <v/>
      </c>
      <c r="I33" s="421" t="str">
        <f t="shared" si="4"/>
        <v/>
      </c>
      <c r="J33" s="421" t="str">
        <f t="shared" si="4"/>
        <v/>
      </c>
      <c r="K33" s="421" t="str">
        <f t="shared" si="4"/>
        <v/>
      </c>
      <c r="L33" s="421" t="str">
        <f t="shared" si="4"/>
        <v/>
      </c>
      <c r="M33" s="421" t="str">
        <f t="shared" si="4"/>
        <v/>
      </c>
      <c r="N33" s="421" t="str">
        <f t="shared" si="4"/>
        <v/>
      </c>
      <c r="O33" s="646">
        <f t="shared" si="2"/>
        <v>-0.37006996892021293</v>
      </c>
      <c r="P33" s="373"/>
      <c r="Q33" s="373"/>
      <c r="R33" s="420"/>
    </row>
    <row r="34" spans="2:18" s="349" customFormat="1" ht="14.25" customHeight="1">
      <c r="B34" s="373" t="s">
        <v>219</v>
      </c>
      <c r="C34" s="373"/>
      <c r="D34" s="421">
        <f>IFERROR(+(D102/D121)*(1-(D104/D103)),"")</f>
        <v>-1.0295629476487831</v>
      </c>
      <c r="E34" s="421">
        <f>IFERROR(+(E102/E121)*(1-(E104/E103)),"")</f>
        <v>0.21113636363636365</v>
      </c>
      <c r="F34" s="421">
        <f t="shared" ref="F34:N34" si="5">IFERROR(+(F102/F121)*(1-(F104/F103)),"")</f>
        <v>-0.10154519634155874</v>
      </c>
      <c r="G34" s="421">
        <f t="shared" si="5"/>
        <v>-1.7552921253175275</v>
      </c>
      <c r="H34" s="421" t="str">
        <f t="shared" si="5"/>
        <v/>
      </c>
      <c r="I34" s="421" t="str">
        <f t="shared" si="5"/>
        <v/>
      </c>
      <c r="J34" s="421" t="str">
        <f t="shared" si="5"/>
        <v/>
      </c>
      <c r="K34" s="421" t="str">
        <f t="shared" si="5"/>
        <v/>
      </c>
      <c r="L34" s="421" t="str">
        <f t="shared" si="5"/>
        <v/>
      </c>
      <c r="M34" s="421" t="str">
        <f t="shared" si="5"/>
        <v/>
      </c>
      <c r="N34" s="421" t="str">
        <f t="shared" si="5"/>
        <v/>
      </c>
      <c r="O34" s="646">
        <f t="shared" si="2"/>
        <v>-0.66881597641787649</v>
      </c>
      <c r="P34" s="373"/>
      <c r="Q34" s="373"/>
      <c r="R34" s="420"/>
    </row>
    <row r="35" spans="2:18" s="349" customFormat="1" ht="14.25" customHeight="1">
      <c r="B35" s="373" t="s">
        <v>220</v>
      </c>
      <c r="C35" s="373"/>
      <c r="D35" s="421">
        <f>IFERROR(+D105/D122,"")</f>
        <v>-0.86382100598652645</v>
      </c>
      <c r="E35" s="421">
        <f>IFERROR(+E105/E122,"")</f>
        <v>-0.61043218605092064</v>
      </c>
      <c r="F35" s="421">
        <f t="shared" ref="F35:N35" si="6">IFERROR(+F105/F122,"")</f>
        <v>-1.2013217124796476</v>
      </c>
      <c r="G35" s="421">
        <f t="shared" si="6"/>
        <v>-0.25783179695582875</v>
      </c>
      <c r="H35" s="421" t="str">
        <f t="shared" si="6"/>
        <v/>
      </c>
      <c r="I35" s="421" t="str">
        <f t="shared" si="6"/>
        <v/>
      </c>
      <c r="J35" s="421" t="str">
        <f t="shared" si="6"/>
        <v/>
      </c>
      <c r="K35" s="421" t="str">
        <f t="shared" si="6"/>
        <v/>
      </c>
      <c r="L35" s="421" t="str">
        <f t="shared" si="6"/>
        <v/>
      </c>
      <c r="M35" s="421" t="str">
        <f t="shared" si="6"/>
        <v/>
      </c>
      <c r="N35" s="421" t="str">
        <f t="shared" si="6"/>
        <v/>
      </c>
      <c r="O35" s="646">
        <f t="shared" si="2"/>
        <v>-0.73335167536823087</v>
      </c>
      <c r="P35" s="373"/>
      <c r="Q35" s="373"/>
      <c r="R35" s="420"/>
    </row>
    <row r="36" spans="2:18" s="349" customFormat="1" ht="14.25" customHeight="1">
      <c r="B36" s="373" t="s">
        <v>221</v>
      </c>
      <c r="C36" s="373"/>
      <c r="D36" s="421">
        <f>IFERROR(+D105/(D121+D122),"")</f>
        <v>-0.82569420573873165</v>
      </c>
      <c r="E36" s="421">
        <f>IFERROR(+E105/(E121+E122),"")</f>
        <v>-0.57075537894511374</v>
      </c>
      <c r="F36" s="421">
        <f t="shared" ref="F36:N36" si="7">IFERROR(+F105/(F121+F122),"")</f>
        <v>-0.74495906872692352</v>
      </c>
      <c r="G36" s="421">
        <f t="shared" si="7"/>
        <v>-0.25502452336172882</v>
      </c>
      <c r="H36" s="421" t="str">
        <f t="shared" si="7"/>
        <v/>
      </c>
      <c r="I36" s="421" t="str">
        <f t="shared" si="7"/>
        <v/>
      </c>
      <c r="J36" s="421" t="str">
        <f t="shared" si="7"/>
        <v/>
      </c>
      <c r="K36" s="421" t="str">
        <f t="shared" si="7"/>
        <v/>
      </c>
      <c r="L36" s="421" t="str">
        <f t="shared" si="7"/>
        <v/>
      </c>
      <c r="M36" s="421" t="str">
        <f t="shared" si="7"/>
        <v/>
      </c>
      <c r="N36" s="421" t="str">
        <f t="shared" si="7"/>
        <v/>
      </c>
      <c r="O36" s="646">
        <f t="shared" si="2"/>
        <v>-0.59910829419312439</v>
      </c>
      <c r="P36" s="373"/>
      <c r="Q36" s="373"/>
      <c r="R36" s="420"/>
    </row>
    <row r="37" spans="2:18" s="349" customFormat="1" ht="3.75" customHeight="1">
      <c r="B37" s="373"/>
      <c r="C37" s="373"/>
      <c r="D37" s="373"/>
      <c r="E37" s="373"/>
      <c r="F37" s="373"/>
      <c r="G37" s="373"/>
      <c r="H37" s="373"/>
      <c r="I37" s="373"/>
      <c r="J37" s="373"/>
      <c r="K37" s="373"/>
      <c r="L37" s="373"/>
      <c r="M37" s="373"/>
      <c r="N37" s="373"/>
      <c r="O37" s="417"/>
      <c r="P37" s="373"/>
      <c r="Q37" s="373"/>
      <c r="R37" s="420"/>
    </row>
    <row r="38" spans="2:18" s="352" customFormat="1" ht="14.25" customHeight="1">
      <c r="B38" s="584" t="s">
        <v>222</v>
      </c>
      <c r="C38" s="585"/>
      <c r="D38" s="359" t="str">
        <f ca="1">+D29</f>
        <v>IONQ,</v>
      </c>
      <c r="E38" s="359" t="str">
        <f t="shared" ref="E38:O38" ca="1" si="8">+E29</f>
        <v>RIGETTI</v>
      </c>
      <c r="F38" s="359" t="str">
        <f t="shared" ca="1" si="8"/>
        <v>D-WAVE</v>
      </c>
      <c r="G38" s="359" t="str">
        <f t="shared" ca="1" si="8"/>
        <v>QUANTUM</v>
      </c>
      <c r="H38" s="359" t="str">
        <f t="shared" si="8"/>
        <v/>
      </c>
      <c r="I38" s="359" t="str">
        <f t="shared" si="8"/>
        <v/>
      </c>
      <c r="J38" s="359" t="str">
        <f t="shared" si="8"/>
        <v/>
      </c>
      <c r="K38" s="359" t="str">
        <f t="shared" si="8"/>
        <v/>
      </c>
      <c r="L38" s="359" t="str">
        <f t="shared" si="8"/>
        <v/>
      </c>
      <c r="M38" s="359" t="str">
        <f t="shared" si="8"/>
        <v/>
      </c>
      <c r="N38" s="359" t="str">
        <f t="shared" si="8"/>
        <v/>
      </c>
      <c r="O38" s="359" t="str">
        <f t="shared" si="8"/>
        <v>Average</v>
      </c>
      <c r="P38" s="382"/>
      <c r="Q38" s="382"/>
      <c r="R38" s="586"/>
    </row>
    <row r="39" spans="2:18" s="349" customFormat="1" ht="3.75" customHeight="1">
      <c r="B39" s="408"/>
      <c r="C39" s="408"/>
      <c r="D39" s="408"/>
      <c r="E39" s="408"/>
      <c r="F39" s="408"/>
      <c r="G39" s="408"/>
      <c r="H39" s="408"/>
      <c r="I39" s="408"/>
      <c r="J39" s="408"/>
      <c r="K39" s="408"/>
      <c r="L39" s="408"/>
      <c r="M39" s="408"/>
      <c r="N39" s="408"/>
      <c r="O39" s="419"/>
      <c r="P39" s="373"/>
      <c r="Q39" s="373"/>
      <c r="R39" s="420"/>
    </row>
    <row r="40" spans="2:18" s="349" customFormat="1" ht="14.25" customHeight="1">
      <c r="B40" s="373" t="s">
        <v>223</v>
      </c>
      <c r="C40" s="373"/>
      <c r="D40" s="422">
        <f>IFERROR(D121/D117,"")</f>
        <v>3.4865103031542839E-2</v>
      </c>
      <c r="E40" s="422">
        <f t="shared" ref="E40:N40" si="9">IFERROR(E121/E117,"")</f>
        <v>3.090028688107252E-2</v>
      </c>
      <c r="F40" s="422">
        <f t="shared" si="9"/>
        <v>0.19202613921232106</v>
      </c>
      <c r="G40" s="422">
        <f t="shared" si="9"/>
        <v>7.6908549808217038E-3</v>
      </c>
      <c r="H40" s="422" t="str">
        <f t="shared" si="9"/>
        <v/>
      </c>
      <c r="I40" s="422" t="str">
        <f t="shared" si="9"/>
        <v/>
      </c>
      <c r="J40" s="422" t="str">
        <f t="shared" si="9"/>
        <v/>
      </c>
      <c r="K40" s="422" t="str">
        <f t="shared" si="9"/>
        <v/>
      </c>
      <c r="L40" s="422" t="str">
        <f t="shared" si="9"/>
        <v/>
      </c>
      <c r="M40" s="422" t="str">
        <f t="shared" si="9"/>
        <v/>
      </c>
      <c r="N40" s="422" t="str">
        <f t="shared" si="9"/>
        <v/>
      </c>
      <c r="O40" s="645">
        <f t="shared" ref="O40:O42" si="10">IFERROR(+AVERAGE(D40:N40),"")</f>
        <v>6.6370596026439535E-2</v>
      </c>
      <c r="P40" s="373"/>
      <c r="Q40" s="373"/>
      <c r="R40" s="420"/>
    </row>
    <row r="41" spans="2:18" s="349" customFormat="1" ht="14.25" customHeight="1">
      <c r="B41" s="373" t="s">
        <v>224</v>
      </c>
      <c r="C41" s="373"/>
      <c r="D41" s="422">
        <f>IFERROR(+(D121-D111)/D100,"")</f>
        <v>0.17150527827278639</v>
      </c>
      <c r="E41" s="422">
        <f t="shared" ref="E41:N41" si="11">IFERROR(+(E121-E111)/E100,"")</f>
        <v>0.85934900014596405</v>
      </c>
      <c r="F41" s="422">
        <f t="shared" si="11"/>
        <v>1.8077904251324088</v>
      </c>
      <c r="G41" s="422">
        <f t="shared" si="11"/>
        <v>2.9981879168755059</v>
      </c>
      <c r="H41" s="422" t="str">
        <f t="shared" si="11"/>
        <v/>
      </c>
      <c r="I41" s="422" t="str">
        <f t="shared" si="11"/>
        <v/>
      </c>
      <c r="J41" s="422" t="str">
        <f t="shared" si="11"/>
        <v/>
      </c>
      <c r="K41" s="422" t="str">
        <f t="shared" si="11"/>
        <v/>
      </c>
      <c r="L41" s="422" t="str">
        <f t="shared" si="11"/>
        <v/>
      </c>
      <c r="M41" s="422" t="str">
        <f t="shared" si="11"/>
        <v/>
      </c>
      <c r="N41" s="422" t="str">
        <f t="shared" si="11"/>
        <v/>
      </c>
      <c r="O41" s="645">
        <f t="shared" si="10"/>
        <v>1.4592081551066662</v>
      </c>
      <c r="P41" s="373"/>
      <c r="Q41" s="373"/>
      <c r="R41" s="420"/>
    </row>
    <row r="42" spans="2:18" s="349" customFormat="1" ht="14.25" customHeight="1">
      <c r="B42" s="373" t="s">
        <v>225</v>
      </c>
      <c r="C42" s="373"/>
      <c r="D42" s="422">
        <f t="shared" ref="D42:N42" si="12">IFERROR(D101/D102,"")</f>
        <v>12.737958244287357</v>
      </c>
      <c r="E42" s="422">
        <f t="shared" si="12"/>
        <v>-40.589881593110874</v>
      </c>
      <c r="F42" s="422">
        <f t="shared" si="12"/>
        <v>20.311778290993072</v>
      </c>
      <c r="G42" s="422">
        <f t="shared" si="12"/>
        <v>14.343945972021226</v>
      </c>
      <c r="H42" s="422" t="str">
        <f t="shared" si="12"/>
        <v/>
      </c>
      <c r="I42" s="422" t="str">
        <f t="shared" si="12"/>
        <v/>
      </c>
      <c r="J42" s="422" t="str">
        <f t="shared" si="12"/>
        <v/>
      </c>
      <c r="K42" s="422" t="str">
        <f t="shared" si="12"/>
        <v/>
      </c>
      <c r="L42" s="422" t="str">
        <f t="shared" si="12"/>
        <v/>
      </c>
      <c r="M42" s="422" t="str">
        <f t="shared" si="12"/>
        <v/>
      </c>
      <c r="N42" s="422" t="str">
        <f t="shared" si="12"/>
        <v/>
      </c>
      <c r="O42" s="645">
        <f t="shared" si="10"/>
        <v>1.7009502285476947</v>
      </c>
      <c r="P42" s="373"/>
      <c r="Q42" s="373"/>
      <c r="R42" s="420"/>
    </row>
    <row r="43" spans="2:18" s="349" customFormat="1" ht="3.75" customHeight="1">
      <c r="B43" s="373"/>
      <c r="C43" s="373"/>
      <c r="D43" s="373"/>
      <c r="E43" s="373"/>
      <c r="F43" s="373"/>
      <c r="G43" s="373"/>
      <c r="H43" s="373"/>
      <c r="I43" s="373"/>
      <c r="J43" s="373"/>
      <c r="K43" s="373"/>
      <c r="L43" s="373"/>
      <c r="M43" s="373"/>
      <c r="N43" s="373"/>
      <c r="O43" s="417"/>
      <c r="P43" s="373"/>
      <c r="Q43" s="373"/>
      <c r="R43" s="420"/>
    </row>
    <row r="44" spans="2:18" s="352" customFormat="1" ht="14.25" customHeight="1">
      <c r="B44" s="584" t="s">
        <v>226</v>
      </c>
      <c r="C44" s="585"/>
      <c r="D44" s="359" t="str">
        <f ca="1">+D29</f>
        <v>IONQ,</v>
      </c>
      <c r="E44" s="359" t="str">
        <f t="shared" ref="E44:O44" ca="1" si="13">+E29</f>
        <v>RIGETTI</v>
      </c>
      <c r="F44" s="359" t="str">
        <f t="shared" ca="1" si="13"/>
        <v>D-WAVE</v>
      </c>
      <c r="G44" s="359" t="str">
        <f t="shared" ca="1" si="13"/>
        <v>QUANTUM</v>
      </c>
      <c r="H44" s="359" t="str">
        <f t="shared" si="13"/>
        <v/>
      </c>
      <c r="I44" s="359" t="str">
        <f t="shared" si="13"/>
        <v/>
      </c>
      <c r="J44" s="359" t="str">
        <f t="shared" si="13"/>
        <v/>
      </c>
      <c r="K44" s="359" t="str">
        <f t="shared" si="13"/>
        <v/>
      </c>
      <c r="L44" s="359" t="str">
        <f t="shared" si="13"/>
        <v/>
      </c>
      <c r="M44" s="359" t="str">
        <f t="shared" si="13"/>
        <v/>
      </c>
      <c r="N44" s="359" t="str">
        <f t="shared" si="13"/>
        <v/>
      </c>
      <c r="O44" s="359" t="str">
        <f t="shared" si="13"/>
        <v>Average</v>
      </c>
      <c r="P44" s="382"/>
      <c r="Q44" s="382"/>
      <c r="R44" s="586"/>
    </row>
    <row r="45" spans="2:18" s="349" customFormat="1" ht="3.75" customHeight="1">
      <c r="B45" s="408"/>
      <c r="C45" s="408"/>
      <c r="D45" s="408"/>
      <c r="E45" s="408"/>
      <c r="F45" s="408"/>
      <c r="G45" s="408"/>
      <c r="H45" s="408"/>
      <c r="I45" s="408"/>
      <c r="J45" s="408"/>
      <c r="K45" s="408"/>
      <c r="L45" s="408"/>
      <c r="M45" s="408"/>
      <c r="N45" s="408"/>
      <c r="O45" s="419"/>
      <c r="P45" s="373"/>
      <c r="Q45" s="373"/>
      <c r="R45" s="420"/>
    </row>
    <row r="46" spans="2:18" s="349" customFormat="1" ht="14.25" customHeight="1">
      <c r="B46" s="373" t="s">
        <v>51</v>
      </c>
      <c r="C46" s="373"/>
      <c r="D46" s="422">
        <f>IFERROR(D111/D119,"")</f>
        <v>1.5073576278231953</v>
      </c>
      <c r="E46" s="422">
        <f t="shared" ref="E46:N46" si="14">IFERROR(E111/E119,"")</f>
        <v>5.7027049801971854</v>
      </c>
      <c r="F46" s="422">
        <f t="shared" si="14"/>
        <v>5.9041300381489465</v>
      </c>
      <c r="G46" s="422">
        <f t="shared" si="14"/>
        <v>17.31629743364773</v>
      </c>
      <c r="H46" s="422" t="str">
        <f t="shared" si="14"/>
        <v/>
      </c>
      <c r="I46" s="422" t="str">
        <f t="shared" si="14"/>
        <v/>
      </c>
      <c r="J46" s="422" t="str">
        <f t="shared" si="14"/>
        <v/>
      </c>
      <c r="K46" s="422" t="str">
        <f t="shared" si="14"/>
        <v/>
      </c>
      <c r="L46" s="422" t="str">
        <f t="shared" si="14"/>
        <v/>
      </c>
      <c r="M46" s="422" t="str">
        <f t="shared" si="14"/>
        <v/>
      </c>
      <c r="N46" s="422" t="str">
        <f t="shared" si="14"/>
        <v/>
      </c>
      <c r="O46" s="645">
        <f t="shared" ref="O46:O48" si="15">IFERROR(+AVERAGE(D46:N46),"")</f>
        <v>7.6076225199542638</v>
      </c>
      <c r="P46" s="373"/>
      <c r="Q46" s="373"/>
      <c r="R46" s="420"/>
    </row>
    <row r="47" spans="2:18" s="349" customFormat="1" ht="14.25" customHeight="1">
      <c r="B47" s="373" t="s">
        <v>54</v>
      </c>
      <c r="C47" s="373"/>
      <c r="D47" s="422">
        <f>IFERROR(+(D111+D112)/D119,"")</f>
        <v>1.6879312733822918</v>
      </c>
      <c r="E47" s="422">
        <f t="shared" ref="E47:N47" si="16">IFERROR(+(E111+E112)/E119,"")</f>
        <v>5.9072217072554141</v>
      </c>
      <c r="F47" s="422">
        <f t="shared" si="16"/>
        <v>5.951235694144966</v>
      </c>
      <c r="G47" s="422">
        <f t="shared" si="16"/>
        <v>17.322219785040581</v>
      </c>
      <c r="H47" s="422" t="str">
        <f t="shared" si="16"/>
        <v/>
      </c>
      <c r="I47" s="422" t="str">
        <f t="shared" si="16"/>
        <v/>
      </c>
      <c r="J47" s="422" t="str">
        <f t="shared" si="16"/>
        <v/>
      </c>
      <c r="K47" s="422" t="str">
        <f t="shared" si="16"/>
        <v/>
      </c>
      <c r="L47" s="422" t="str">
        <f t="shared" si="16"/>
        <v/>
      </c>
      <c r="M47" s="422" t="str">
        <f t="shared" si="16"/>
        <v/>
      </c>
      <c r="N47" s="422" t="str">
        <f t="shared" si="16"/>
        <v/>
      </c>
      <c r="O47" s="645">
        <f t="shared" si="15"/>
        <v>7.7171521149558133</v>
      </c>
      <c r="P47" s="373"/>
      <c r="Q47" s="373"/>
      <c r="R47" s="420"/>
    </row>
    <row r="48" spans="2:18" s="349" customFormat="1" ht="14.25" customHeight="1">
      <c r="B48" s="373" t="s">
        <v>56</v>
      </c>
      <c r="C48" s="373"/>
      <c r="D48" s="422">
        <f>IFERROR(D115/D119,"")</f>
        <v>10.497492032700569</v>
      </c>
      <c r="E48" s="422">
        <f t="shared" ref="E48:N48" si="17">IFERROR(E115/E119,"")</f>
        <v>17.422937557933764</v>
      </c>
      <c r="F48" s="422">
        <f t="shared" si="17"/>
        <v>6.1383313982418315</v>
      </c>
      <c r="G48" s="422">
        <f t="shared" si="17"/>
        <v>17.36148278131169</v>
      </c>
      <c r="H48" s="422" t="str">
        <f t="shared" si="17"/>
        <v/>
      </c>
      <c r="I48" s="422" t="str">
        <f t="shared" si="17"/>
        <v/>
      </c>
      <c r="J48" s="422" t="str">
        <f t="shared" si="17"/>
        <v/>
      </c>
      <c r="K48" s="422" t="str">
        <f t="shared" si="17"/>
        <v/>
      </c>
      <c r="L48" s="422" t="str">
        <f t="shared" si="17"/>
        <v/>
      </c>
      <c r="M48" s="422" t="str">
        <f t="shared" si="17"/>
        <v/>
      </c>
      <c r="N48" s="422" t="str">
        <f t="shared" si="17"/>
        <v/>
      </c>
      <c r="O48" s="645">
        <f t="shared" si="15"/>
        <v>12.855060942546963</v>
      </c>
      <c r="P48" s="373"/>
      <c r="Q48" s="373"/>
      <c r="R48" s="420"/>
    </row>
    <row r="49" spans="2:18" s="349" customFormat="1" ht="3.75" customHeight="1">
      <c r="B49" s="373"/>
      <c r="C49" s="373"/>
      <c r="D49" s="422"/>
      <c r="E49" s="373"/>
      <c r="F49" s="373"/>
      <c r="G49" s="373"/>
      <c r="H49" s="373"/>
      <c r="I49" s="373"/>
      <c r="J49" s="373"/>
      <c r="K49" s="373"/>
      <c r="L49" s="373"/>
      <c r="M49" s="373"/>
      <c r="N49" s="373"/>
      <c r="O49" s="417"/>
      <c r="P49" s="373"/>
      <c r="Q49" s="373"/>
      <c r="R49" s="420"/>
    </row>
    <row r="50" spans="2:18" s="352" customFormat="1" ht="14.25" customHeight="1">
      <c r="B50" s="584" t="s">
        <v>227</v>
      </c>
      <c r="C50" s="585"/>
      <c r="D50" s="359" t="str">
        <f ca="1">+D29</f>
        <v>IONQ,</v>
      </c>
      <c r="E50" s="359" t="str">
        <f t="shared" ref="E50:O50" ca="1" si="18">+E29</f>
        <v>RIGETTI</v>
      </c>
      <c r="F50" s="359" t="str">
        <f t="shared" ca="1" si="18"/>
        <v>D-WAVE</v>
      </c>
      <c r="G50" s="359" t="str">
        <f t="shared" ca="1" si="18"/>
        <v>QUANTUM</v>
      </c>
      <c r="H50" s="359" t="str">
        <f t="shared" si="18"/>
        <v/>
      </c>
      <c r="I50" s="359" t="str">
        <f t="shared" si="18"/>
        <v/>
      </c>
      <c r="J50" s="359" t="str">
        <f t="shared" si="18"/>
        <v/>
      </c>
      <c r="K50" s="359" t="str">
        <f t="shared" si="18"/>
        <v/>
      </c>
      <c r="L50" s="359" t="str">
        <f t="shared" si="18"/>
        <v/>
      </c>
      <c r="M50" s="359" t="str">
        <f t="shared" si="18"/>
        <v/>
      </c>
      <c r="N50" s="359" t="str">
        <f t="shared" si="18"/>
        <v/>
      </c>
      <c r="O50" s="359" t="str">
        <f t="shared" si="18"/>
        <v>Average</v>
      </c>
      <c r="P50" s="382"/>
      <c r="Q50" s="382"/>
      <c r="R50" s="586"/>
    </row>
    <row r="51" spans="2:18" s="349" customFormat="1" ht="3.75" customHeight="1">
      <c r="B51" s="408"/>
      <c r="C51" s="408"/>
      <c r="D51" s="408"/>
      <c r="E51" s="408"/>
      <c r="F51" s="408"/>
      <c r="G51" s="408"/>
      <c r="H51" s="408"/>
      <c r="I51" s="408"/>
      <c r="J51" s="408"/>
      <c r="K51" s="408"/>
      <c r="L51" s="408"/>
      <c r="M51" s="408"/>
      <c r="N51" s="408"/>
      <c r="O51" s="419"/>
      <c r="P51" s="373"/>
      <c r="Q51" s="373"/>
      <c r="R51" s="420"/>
    </row>
    <row r="52" spans="2:18" s="349" customFormat="1" ht="14.25" customHeight="1">
      <c r="B52" s="373" t="s">
        <v>228</v>
      </c>
      <c r="C52" s="373"/>
      <c r="D52" s="694" t="str">
        <f>IFERROR(D98/(AVERAGE(D113:D114)),"")</f>
        <v/>
      </c>
      <c r="E52" s="694" t="str">
        <f>IFERROR(E98/(AVERAGE(E113:E114)),"")</f>
        <v/>
      </c>
      <c r="F52" s="694">
        <f t="shared" ref="F52:N52" si="19">IFERROR(F98/(AVERAGE(F113:F114)),"")</f>
        <v>1.7343251859723698</v>
      </c>
      <c r="G52" s="694">
        <f t="shared" si="19"/>
        <v>5.7362637362637363</v>
      </c>
      <c r="H52" s="694" t="str">
        <f t="shared" si="19"/>
        <v/>
      </c>
      <c r="I52" s="694" t="str">
        <f t="shared" si="19"/>
        <v/>
      </c>
      <c r="J52" s="694" t="str">
        <f t="shared" si="19"/>
        <v/>
      </c>
      <c r="K52" s="694" t="str">
        <f t="shared" si="19"/>
        <v/>
      </c>
      <c r="L52" s="694" t="str">
        <f t="shared" si="19"/>
        <v/>
      </c>
      <c r="M52" s="694" t="str">
        <f t="shared" si="19"/>
        <v/>
      </c>
      <c r="N52" s="694" t="str">
        <f t="shared" si="19"/>
        <v/>
      </c>
      <c r="O52" s="645">
        <f t="shared" ref="O52:O57" si="20">IFERROR(+AVERAGE(D52:N52),"")</f>
        <v>3.7352944611180532</v>
      </c>
      <c r="P52" s="373"/>
      <c r="Q52" s="373"/>
      <c r="R52" s="420"/>
    </row>
    <row r="53" spans="2:18" s="349" customFormat="1" ht="14.25" customHeight="1">
      <c r="B53" s="373" t="s">
        <v>229</v>
      </c>
      <c r="C53" s="373"/>
      <c r="D53" s="694">
        <f>IFERROR(D97/D112,"")</f>
        <v>6.6103437691835483</v>
      </c>
      <c r="E53" s="694">
        <f t="shared" ref="E53:N53" si="21">IFERROR(E97/E112,"")</f>
        <v>4.4458178821590444</v>
      </c>
      <c r="F53" s="694">
        <f t="shared" si="21"/>
        <v>6.2161971830985916</v>
      </c>
      <c r="G53" s="694">
        <f t="shared" si="21"/>
        <v>13.814814814814815</v>
      </c>
      <c r="H53" s="694" t="str">
        <f t="shared" si="21"/>
        <v/>
      </c>
      <c r="I53" s="694" t="str">
        <f t="shared" si="21"/>
        <v/>
      </c>
      <c r="J53" s="694" t="str">
        <f t="shared" si="21"/>
        <v/>
      </c>
      <c r="K53" s="694" t="str">
        <f t="shared" si="21"/>
        <v/>
      </c>
      <c r="L53" s="694" t="str">
        <f t="shared" si="21"/>
        <v/>
      </c>
      <c r="M53" s="694" t="str">
        <f t="shared" si="21"/>
        <v/>
      </c>
      <c r="N53" s="694" t="str">
        <f t="shared" si="21"/>
        <v/>
      </c>
      <c r="O53" s="645">
        <f t="shared" si="20"/>
        <v>7.7717934123140004</v>
      </c>
      <c r="P53" s="373"/>
      <c r="Q53" s="373"/>
      <c r="R53" s="420"/>
    </row>
    <row r="54" spans="2:18" s="349" customFormat="1" ht="14.25" customHeight="1">
      <c r="B54" s="373" t="s">
        <v>230</v>
      </c>
      <c r="C54" s="373"/>
      <c r="D54" s="694">
        <f>IFERROR(D98/D118,"")</f>
        <v>3.9382409177820268</v>
      </c>
      <c r="E54" s="694">
        <f t="shared" ref="E54:N54" si="22">IFERROR(E98/E118,"")</f>
        <v>3.2031446540880504</v>
      </c>
      <c r="F54" s="694">
        <f t="shared" si="22"/>
        <v>4.0049079754601227</v>
      </c>
      <c r="G54" s="694">
        <f t="shared" si="22"/>
        <v>0.19023323615160351</v>
      </c>
      <c r="H54" s="694" t="str">
        <f t="shared" si="22"/>
        <v/>
      </c>
      <c r="I54" s="694" t="str">
        <f t="shared" si="22"/>
        <v/>
      </c>
      <c r="J54" s="694" t="str">
        <f t="shared" si="22"/>
        <v/>
      </c>
      <c r="K54" s="694" t="str">
        <f t="shared" si="22"/>
        <v/>
      </c>
      <c r="L54" s="694" t="str">
        <f t="shared" si="22"/>
        <v/>
      </c>
      <c r="M54" s="694" t="str">
        <f t="shared" si="22"/>
        <v/>
      </c>
      <c r="N54" s="694" t="str">
        <f t="shared" si="22"/>
        <v/>
      </c>
      <c r="O54" s="645">
        <f t="shared" si="20"/>
        <v>2.8341316958704508</v>
      </c>
      <c r="P54" s="373"/>
      <c r="Q54" s="373"/>
      <c r="R54" s="420"/>
    </row>
    <row r="55" spans="2:18" s="349" customFormat="1" ht="14.25" customHeight="1">
      <c r="B55" s="373" t="s">
        <v>231</v>
      </c>
      <c r="C55" s="373"/>
      <c r="D55" s="422">
        <f>IFERROR(D97/D116,"")</f>
        <v>0.6921470006909739</v>
      </c>
      <c r="E55" s="422">
        <f t="shared" ref="E55:N55" si="23">IFERROR(E97/E116,"")</f>
        <v>0.20499278060642906</v>
      </c>
      <c r="F55" s="422">
        <f t="shared" si="23"/>
        <v>0.77470598560645954</v>
      </c>
      <c r="G55" s="422">
        <f t="shared" si="23"/>
        <v>3.8319293199095952E-2</v>
      </c>
      <c r="H55" s="422" t="str">
        <f t="shared" si="23"/>
        <v/>
      </c>
      <c r="I55" s="422" t="str">
        <f t="shared" si="23"/>
        <v/>
      </c>
      <c r="J55" s="422" t="str">
        <f t="shared" si="23"/>
        <v/>
      </c>
      <c r="K55" s="422" t="str">
        <f t="shared" si="23"/>
        <v/>
      </c>
      <c r="L55" s="422" t="str">
        <f t="shared" si="23"/>
        <v/>
      </c>
      <c r="M55" s="422" t="str">
        <f t="shared" si="23"/>
        <v/>
      </c>
      <c r="N55" s="422" t="str">
        <f t="shared" si="23"/>
        <v/>
      </c>
      <c r="O55" s="645">
        <f t="shared" si="20"/>
        <v>0.42754126502573958</v>
      </c>
      <c r="P55" s="373"/>
      <c r="Q55" s="373"/>
      <c r="R55" s="420"/>
    </row>
    <row r="56" spans="2:18" s="349" customFormat="1" ht="14.25" customHeight="1">
      <c r="B56" s="373" t="s">
        <v>232</v>
      </c>
      <c r="C56" s="373"/>
      <c r="D56" s="422">
        <f>IFERROR(D97/D117,"")</f>
        <v>8.4724659118625936E-2</v>
      </c>
      <c r="E56" s="422">
        <f t="shared" ref="E56:N56" si="24">IFERROR(E97/E117,"")</f>
        <v>3.7887965391678692E-2</v>
      </c>
      <c r="F56" s="422">
        <f t="shared" si="24"/>
        <v>4.4167463085367745E-2</v>
      </c>
      <c r="G56" s="422">
        <f t="shared" si="24"/>
        <v>2.4290337915719691E-3</v>
      </c>
      <c r="H56" s="422" t="str">
        <f t="shared" si="24"/>
        <v/>
      </c>
      <c r="I56" s="422" t="str">
        <f t="shared" si="24"/>
        <v/>
      </c>
      <c r="J56" s="422" t="str">
        <f t="shared" si="24"/>
        <v/>
      </c>
      <c r="K56" s="422" t="str">
        <f t="shared" si="24"/>
        <v/>
      </c>
      <c r="L56" s="422" t="str">
        <f t="shared" si="24"/>
        <v/>
      </c>
      <c r="M56" s="422" t="str">
        <f t="shared" si="24"/>
        <v/>
      </c>
      <c r="N56" s="422" t="str">
        <f t="shared" si="24"/>
        <v/>
      </c>
      <c r="O56" s="645">
        <f t="shared" si="20"/>
        <v>4.2302280346811084E-2</v>
      </c>
      <c r="P56" s="373"/>
      <c r="Q56" s="373"/>
      <c r="R56" s="420"/>
    </row>
    <row r="57" spans="2:18" s="349" customFormat="1" ht="14.25" customHeight="1">
      <c r="B57" s="373" t="s">
        <v>233</v>
      </c>
      <c r="C57" s="373"/>
      <c r="D57" s="695" t="str">
        <f>IFERROR(365/D52+365/D53-365/D54,"")</f>
        <v/>
      </c>
      <c r="E57" s="695" t="str">
        <f>IFERROR(365/E52+365/E53-365/E54,"")</f>
        <v/>
      </c>
      <c r="F57" s="695">
        <f t="shared" ref="F57:N57" si="25">IFERROR(365/F52+365/F53-365/F54,"")</f>
        <v>178.03589216713647</v>
      </c>
      <c r="G57" s="695">
        <f t="shared" si="25"/>
        <v>-1828.6461382802788</v>
      </c>
      <c r="H57" s="695" t="str">
        <f t="shared" si="25"/>
        <v/>
      </c>
      <c r="I57" s="695" t="str">
        <f t="shared" si="25"/>
        <v/>
      </c>
      <c r="J57" s="695" t="str">
        <f t="shared" si="25"/>
        <v/>
      </c>
      <c r="K57" s="695" t="str">
        <f t="shared" si="25"/>
        <v/>
      </c>
      <c r="L57" s="695" t="str">
        <f t="shared" si="25"/>
        <v/>
      </c>
      <c r="M57" s="695" t="str">
        <f t="shared" si="25"/>
        <v/>
      </c>
      <c r="N57" s="695" t="str">
        <f t="shared" si="25"/>
        <v/>
      </c>
      <c r="O57" s="645">
        <f t="shared" si="20"/>
        <v>-825.30512305657112</v>
      </c>
      <c r="P57" s="373"/>
      <c r="Q57" s="373"/>
      <c r="R57" s="420"/>
    </row>
    <row r="58" spans="2:18" s="349" customFormat="1" ht="3.95" customHeight="1">
      <c r="B58" s="373"/>
      <c r="C58" s="373"/>
      <c r="D58" s="645"/>
      <c r="E58" s="645"/>
      <c r="F58" s="645"/>
      <c r="G58" s="645"/>
      <c r="H58" s="645"/>
      <c r="I58" s="645"/>
      <c r="J58" s="645"/>
      <c r="K58" s="645"/>
      <c r="L58" s="645"/>
      <c r="M58" s="645"/>
      <c r="N58" s="645"/>
      <c r="O58" s="645"/>
      <c r="P58" s="373"/>
      <c r="Q58" s="373"/>
      <c r="R58" s="420"/>
    </row>
    <row r="59" spans="2:18" s="349" customFormat="1" ht="14.25" customHeight="1">
      <c r="B59" s="584" t="s">
        <v>234</v>
      </c>
      <c r="C59" s="585"/>
      <c r="D59" s="359" t="str">
        <f ca="1">+D38</f>
        <v>IONQ,</v>
      </c>
      <c r="E59" s="359" t="str">
        <f t="shared" ref="E59:O59" ca="1" si="26">+E38</f>
        <v>RIGETTI</v>
      </c>
      <c r="F59" s="359" t="str">
        <f t="shared" ca="1" si="26"/>
        <v>D-WAVE</v>
      </c>
      <c r="G59" s="359" t="str">
        <f t="shared" ca="1" si="26"/>
        <v>QUANTUM</v>
      </c>
      <c r="H59" s="359" t="str">
        <f t="shared" si="26"/>
        <v/>
      </c>
      <c r="I59" s="359" t="str">
        <f t="shared" si="26"/>
        <v/>
      </c>
      <c r="J59" s="359" t="str">
        <f t="shared" si="26"/>
        <v/>
      </c>
      <c r="K59" s="359" t="str">
        <f t="shared" si="26"/>
        <v/>
      </c>
      <c r="L59" s="359" t="str">
        <f t="shared" si="26"/>
        <v/>
      </c>
      <c r="M59" s="359" t="str">
        <f t="shared" si="26"/>
        <v/>
      </c>
      <c r="N59" s="359" t="str">
        <f t="shared" si="26"/>
        <v/>
      </c>
      <c r="O59" s="359" t="str">
        <f t="shared" si="26"/>
        <v>Average</v>
      </c>
      <c r="P59" s="373"/>
      <c r="Q59" s="373"/>
      <c r="R59" s="420"/>
    </row>
    <row r="60" spans="2:18" s="349" customFormat="1" ht="3.95" customHeight="1">
      <c r="B60" s="408"/>
      <c r="C60" s="408"/>
      <c r="D60" s="408"/>
      <c r="E60" s="408"/>
      <c r="F60" s="408"/>
      <c r="G60" s="408"/>
      <c r="H60" s="408"/>
      <c r="I60" s="408"/>
      <c r="J60" s="408"/>
      <c r="K60" s="408"/>
      <c r="L60" s="408"/>
      <c r="M60" s="408"/>
      <c r="N60" s="408"/>
      <c r="O60" s="419"/>
      <c r="P60" s="373"/>
      <c r="Q60" s="373"/>
      <c r="R60" s="420"/>
    </row>
    <row r="61" spans="2:18" s="349" customFormat="1" ht="14.25" customHeight="1">
      <c r="B61" s="373" t="s">
        <v>235</v>
      </c>
      <c r="C61" s="373"/>
      <c r="D61" s="646">
        <f>IFERROR(D132/D97,"")</f>
        <v>0.43551644881944607</v>
      </c>
      <c r="E61" s="646">
        <f t="shared" ref="E61:N61" si="27">IFERROR(E132/E97,"")</f>
        <v>4.3067655236329934</v>
      </c>
      <c r="F61" s="646">
        <f t="shared" si="27"/>
        <v>15.482723462104905</v>
      </c>
      <c r="G61" s="646">
        <f t="shared" si="27"/>
        <v>206.12868632707776</v>
      </c>
      <c r="H61" s="646" t="str">
        <f t="shared" si="27"/>
        <v/>
      </c>
      <c r="I61" s="646" t="str">
        <f t="shared" si="27"/>
        <v/>
      </c>
      <c r="J61" s="646" t="str">
        <f t="shared" si="27"/>
        <v/>
      </c>
      <c r="K61" s="646" t="str">
        <f t="shared" si="27"/>
        <v/>
      </c>
      <c r="L61" s="646" t="str">
        <f t="shared" si="27"/>
        <v/>
      </c>
      <c r="M61" s="646" t="str">
        <f t="shared" si="27"/>
        <v/>
      </c>
      <c r="N61" s="646" t="str">
        <f t="shared" si="27"/>
        <v/>
      </c>
      <c r="O61" s="646">
        <f>IFERROR(+AVERAGE(D61:N61),"")</f>
        <v>56.588422940408776</v>
      </c>
      <c r="P61" s="373"/>
      <c r="Q61" s="373"/>
      <c r="R61" s="420"/>
    </row>
    <row r="62" spans="2:18" s="349" customFormat="1" ht="14.25" customHeight="1">
      <c r="B62" s="373" t="s">
        <v>236</v>
      </c>
      <c r="C62" s="373"/>
      <c r="D62" s="646">
        <f>IFERROR(D132/D96,"")</f>
        <v>-0.11893632692160501</v>
      </c>
      <c r="E62" s="646">
        <f t="shared" ref="E62:N62" si="28">IFERROR(E132/E96,"")</f>
        <v>-0.61871729665676967</v>
      </c>
      <c r="F62" s="646">
        <f t="shared" si="28"/>
        <v>-1.6522517076709182</v>
      </c>
      <c r="G62" s="646">
        <f t="shared" si="28"/>
        <v>-2.8453112278883874</v>
      </c>
      <c r="H62" s="646" t="str">
        <f t="shared" si="28"/>
        <v/>
      </c>
      <c r="I62" s="646" t="str">
        <f t="shared" si="28"/>
        <v/>
      </c>
      <c r="J62" s="646" t="str">
        <f t="shared" si="28"/>
        <v/>
      </c>
      <c r="K62" s="646" t="str">
        <f t="shared" si="28"/>
        <v/>
      </c>
      <c r="L62" s="646" t="str">
        <f t="shared" si="28"/>
        <v/>
      </c>
      <c r="M62" s="646" t="str">
        <f t="shared" si="28"/>
        <v/>
      </c>
      <c r="N62" s="646" t="str">
        <f t="shared" si="28"/>
        <v/>
      </c>
      <c r="O62" s="646">
        <f t="shared" ref="O62:O68" si="29">IFERROR(+AVERAGE(D62:N62),"")</f>
        <v>-1.3088041397844201</v>
      </c>
      <c r="P62" s="373"/>
      <c r="Q62" s="373"/>
      <c r="R62" s="420"/>
    </row>
    <row r="63" spans="2:18" s="349" customFormat="1" ht="14.25" customHeight="1">
      <c r="B63" s="373" t="s">
        <v>237</v>
      </c>
      <c r="C63" s="373"/>
      <c r="D63" s="646">
        <f>+IFERROR(D126/D105,"")</f>
        <v>0.31871774972451583</v>
      </c>
      <c r="E63" s="646">
        <f>+IFERROR(E126/E105,"")</f>
        <v>0.65516215027046609</v>
      </c>
      <c r="F63" s="646">
        <f t="shared" ref="F63:N63" si="30">+IFERROR(F126/F105,"")</f>
        <v>0.566624146270164</v>
      </c>
      <c r="G63" s="646">
        <f t="shared" si="30"/>
        <v>0.58611091027402218</v>
      </c>
      <c r="H63" s="646" t="str">
        <f t="shared" si="30"/>
        <v/>
      </c>
      <c r="I63" s="646" t="str">
        <f t="shared" si="30"/>
        <v/>
      </c>
      <c r="J63" s="646" t="str">
        <f t="shared" si="30"/>
        <v/>
      </c>
      <c r="K63" s="646" t="str">
        <f t="shared" si="30"/>
        <v/>
      </c>
      <c r="L63" s="646" t="str">
        <f t="shared" si="30"/>
        <v/>
      </c>
      <c r="M63" s="646" t="str">
        <f t="shared" si="30"/>
        <v/>
      </c>
      <c r="N63" s="646" t="str">
        <f t="shared" si="30"/>
        <v/>
      </c>
      <c r="O63" s="646">
        <f t="shared" si="29"/>
        <v>0.53165373913479197</v>
      </c>
      <c r="P63" s="373"/>
      <c r="Q63" s="373"/>
      <c r="R63" s="420"/>
    </row>
    <row r="64" spans="2:18" s="349" customFormat="1" ht="14.25" customHeight="1">
      <c r="B64" s="373" t="s">
        <v>238</v>
      </c>
      <c r="C64" s="373"/>
      <c r="D64" s="646">
        <f t="shared" ref="D64:N64" si="31">IFERROR(-D127/D126,"")</f>
        <v>-0.22301600068128272</v>
      </c>
      <c r="E64" s="646">
        <f t="shared" si="31"/>
        <v>-0.21921109289509549</v>
      </c>
      <c r="F64" s="646">
        <f t="shared" si="31"/>
        <v>-5.6163965949862817E-2</v>
      </c>
      <c r="G64" s="646">
        <f t="shared" si="31"/>
        <v>-0.37229383827792512</v>
      </c>
      <c r="H64" s="646" t="str">
        <f t="shared" si="31"/>
        <v/>
      </c>
      <c r="I64" s="646" t="str">
        <f t="shared" si="31"/>
        <v/>
      </c>
      <c r="J64" s="646" t="str">
        <f t="shared" si="31"/>
        <v/>
      </c>
      <c r="K64" s="646" t="str">
        <f t="shared" si="31"/>
        <v/>
      </c>
      <c r="L64" s="646" t="str">
        <f t="shared" si="31"/>
        <v/>
      </c>
      <c r="M64" s="646" t="str">
        <f t="shared" si="31"/>
        <v/>
      </c>
      <c r="N64" s="646" t="str">
        <f t="shared" si="31"/>
        <v/>
      </c>
      <c r="O64" s="646">
        <f t="shared" si="29"/>
        <v>-0.21767122445104153</v>
      </c>
      <c r="P64" s="373"/>
      <c r="Q64" s="373"/>
      <c r="R64" s="420"/>
    </row>
    <row r="65" spans="1:52" s="349" customFormat="1" ht="14.25" customHeight="1">
      <c r="A65" s="373"/>
      <c r="B65" s="373" t="s">
        <v>239</v>
      </c>
      <c r="C65" s="373"/>
      <c r="D65" s="646">
        <f>IFERROR(-D128/D126,"")</f>
        <v>0.78281275134127537</v>
      </c>
      <c r="E65" s="646">
        <f t="shared" ref="E65:N65" si="32">IFERROR(-E128/E126,"")</f>
        <v>-1.5478302091769214</v>
      </c>
      <c r="F65" s="646">
        <f>IFERROR(-F128/F126,"")</f>
        <v>-7.3658044696667688E-2</v>
      </c>
      <c r="G65" s="646">
        <f t="shared" si="32"/>
        <v>-0.37229383827792512</v>
      </c>
      <c r="H65" s="646" t="str">
        <f t="shared" si="32"/>
        <v/>
      </c>
      <c r="I65" s="646" t="str">
        <f t="shared" si="32"/>
        <v/>
      </c>
      <c r="J65" s="646" t="str">
        <f t="shared" si="32"/>
        <v/>
      </c>
      <c r="K65" s="646" t="str">
        <f t="shared" si="32"/>
        <v/>
      </c>
      <c r="L65" s="646" t="str">
        <f t="shared" si="32"/>
        <v/>
      </c>
      <c r="M65" s="646" t="str">
        <f t="shared" si="32"/>
        <v/>
      </c>
      <c r="N65" s="646" t="str">
        <f t="shared" si="32"/>
        <v/>
      </c>
      <c r="O65" s="646">
        <f t="shared" si="29"/>
        <v>-0.30274233520255972</v>
      </c>
      <c r="P65" s="373"/>
      <c r="Q65" s="373"/>
      <c r="R65" s="420"/>
      <c r="S65" s="373"/>
      <c r="T65" s="373"/>
      <c r="U65" s="373"/>
      <c r="V65" s="373"/>
      <c r="W65" s="373"/>
      <c r="X65" s="373"/>
      <c r="Y65" s="373"/>
      <c r="Z65" s="373"/>
      <c r="AA65" s="373"/>
      <c r="AB65" s="373"/>
      <c r="AC65" s="373"/>
      <c r="AD65" s="373"/>
      <c r="AE65" s="373"/>
      <c r="AF65" s="373"/>
      <c r="AG65" s="373"/>
      <c r="AH65" s="373"/>
      <c r="AI65" s="373"/>
      <c r="AJ65" s="373"/>
      <c r="AK65" s="373"/>
      <c r="AL65" s="373"/>
      <c r="AM65" s="373"/>
      <c r="AN65" s="373"/>
      <c r="AO65" s="373"/>
      <c r="AP65" s="373"/>
      <c r="AQ65" s="373"/>
      <c r="AR65" s="373"/>
      <c r="AS65" s="373"/>
      <c r="AT65" s="373"/>
      <c r="AU65" s="373"/>
      <c r="AV65" s="373"/>
      <c r="AW65" s="373"/>
      <c r="AX65" s="373"/>
      <c r="AY65" s="373"/>
      <c r="AZ65" s="373"/>
    </row>
    <row r="66" spans="1:52" s="349" customFormat="1" ht="14.25" customHeight="1">
      <c r="A66" s="373"/>
      <c r="B66" s="373" t="s">
        <v>240</v>
      </c>
      <c r="C66" s="373"/>
      <c r="D66" s="646">
        <f>IFERROR((D129+D130)/D126,"")</f>
        <v>0</v>
      </c>
      <c r="E66" s="646">
        <f t="shared" ref="E66:N66" si="33">IFERROR((E129+E130)/E126,"")</f>
        <v>0.46078179627471505</v>
      </c>
      <c r="F66" s="646">
        <f>IFERROR((F129+F130)/F126,"")</f>
        <v>0.71219191895504541</v>
      </c>
      <c r="G66" s="646">
        <f t="shared" si="33"/>
        <v>0</v>
      </c>
      <c r="H66" s="646" t="str">
        <f t="shared" si="33"/>
        <v/>
      </c>
      <c r="I66" s="646" t="str">
        <f t="shared" si="33"/>
        <v/>
      </c>
      <c r="J66" s="646" t="str">
        <f t="shared" si="33"/>
        <v/>
      </c>
      <c r="K66" s="646" t="str">
        <f t="shared" si="33"/>
        <v/>
      </c>
      <c r="L66" s="646" t="str">
        <f t="shared" si="33"/>
        <v/>
      </c>
      <c r="M66" s="646" t="str">
        <f t="shared" si="33"/>
        <v/>
      </c>
      <c r="N66" s="646" t="str">
        <f t="shared" si="33"/>
        <v/>
      </c>
      <c r="O66" s="646">
        <f t="shared" si="29"/>
        <v>0.29324342880744014</v>
      </c>
      <c r="P66" s="373"/>
      <c r="Q66" s="373"/>
      <c r="R66" s="420"/>
      <c r="S66" s="373"/>
      <c r="T66" s="373"/>
      <c r="U66" s="373"/>
      <c r="V66" s="373"/>
      <c r="W66" s="373"/>
      <c r="X66" s="373"/>
      <c r="Y66" s="373"/>
      <c r="Z66" s="373"/>
      <c r="AA66" s="373"/>
      <c r="AB66" s="373"/>
      <c r="AC66" s="373"/>
      <c r="AD66" s="373"/>
      <c r="AE66" s="373"/>
      <c r="AF66" s="373"/>
      <c r="AG66" s="373"/>
      <c r="AH66" s="373"/>
      <c r="AI66" s="373"/>
      <c r="AJ66" s="373"/>
      <c r="AK66" s="373"/>
      <c r="AL66" s="373"/>
      <c r="AM66" s="373"/>
      <c r="AN66" s="373"/>
      <c r="AO66" s="373"/>
      <c r="AP66" s="373"/>
      <c r="AQ66" s="373"/>
      <c r="AR66" s="373"/>
      <c r="AS66" s="373"/>
      <c r="AT66" s="373"/>
      <c r="AU66" s="373"/>
      <c r="AV66" s="373"/>
      <c r="AW66" s="373"/>
      <c r="AX66" s="373"/>
      <c r="AY66" s="373"/>
      <c r="AZ66" s="373"/>
    </row>
    <row r="67" spans="1:52" s="349" customFormat="1" ht="14.25" customHeight="1">
      <c r="A67" s="373"/>
      <c r="B67" s="373" t="s">
        <v>241</v>
      </c>
      <c r="C67" s="373"/>
      <c r="D67" s="646" t="str">
        <f>+IFERROR(-D130/D129,"")</f>
        <v/>
      </c>
      <c r="E67" s="646" t="str">
        <f t="shared" ref="E67:N67" si="34">+IFERROR(-E130/E129,"")</f>
        <v/>
      </c>
      <c r="F67" s="646" t="str">
        <f>+IFERROR(-F130/F129,"")</f>
        <v/>
      </c>
      <c r="G67" s="646" t="str">
        <f t="shared" si="34"/>
        <v/>
      </c>
      <c r="H67" s="646" t="str">
        <f t="shared" si="34"/>
        <v/>
      </c>
      <c r="I67" s="646" t="str">
        <f t="shared" si="34"/>
        <v/>
      </c>
      <c r="J67" s="646" t="str">
        <f t="shared" si="34"/>
        <v/>
      </c>
      <c r="K67" s="646" t="str">
        <f t="shared" si="34"/>
        <v/>
      </c>
      <c r="L67" s="646" t="str">
        <f t="shared" si="34"/>
        <v/>
      </c>
      <c r="M67" s="646" t="str">
        <f t="shared" si="34"/>
        <v/>
      </c>
      <c r="N67" s="646" t="str">
        <f t="shared" si="34"/>
        <v/>
      </c>
      <c r="O67" s="646" t="str">
        <f>IFERROR(+AVERAGE(D67:N67),"")</f>
        <v/>
      </c>
      <c r="P67" s="373"/>
      <c r="Q67" s="373"/>
      <c r="R67" s="420"/>
      <c r="S67" s="373"/>
      <c r="T67" s="373"/>
      <c r="U67" s="373"/>
      <c r="V67" s="373"/>
      <c r="W67" s="373"/>
      <c r="X67" s="373"/>
      <c r="Y67" s="373"/>
      <c r="Z67" s="373"/>
      <c r="AA67" s="373"/>
      <c r="AB67" s="373"/>
      <c r="AC67" s="373"/>
      <c r="AD67" s="373"/>
      <c r="AE67" s="373"/>
      <c r="AF67" s="373"/>
      <c r="AG67" s="373"/>
      <c r="AH67" s="373"/>
      <c r="AI67" s="373"/>
      <c r="AJ67" s="373"/>
      <c r="AK67" s="373"/>
      <c r="AL67" s="373"/>
      <c r="AM67" s="373"/>
      <c r="AN67" s="373"/>
      <c r="AO67" s="373"/>
      <c r="AP67" s="373"/>
      <c r="AQ67" s="373"/>
      <c r="AR67" s="373"/>
      <c r="AS67" s="373"/>
      <c r="AT67" s="373"/>
      <c r="AU67" s="373"/>
      <c r="AV67" s="373"/>
      <c r="AW67" s="373"/>
      <c r="AX67" s="373"/>
      <c r="AY67" s="373"/>
      <c r="AZ67" s="373"/>
    </row>
    <row r="68" spans="1:52" s="349" customFormat="1" ht="14.25" customHeight="1">
      <c r="A68" s="373"/>
      <c r="B68" s="373" t="s">
        <v>242</v>
      </c>
      <c r="C68" s="373"/>
      <c r="D68" s="646">
        <f t="shared" ref="D68:N68" si="35">IFERROR(-D131/D126,"")</f>
        <v>0.39445322331879301</v>
      </c>
      <c r="E68" s="646">
        <f t="shared" si="35"/>
        <v>3.465719872795149</v>
      </c>
      <c r="F68" s="646">
        <f t="shared" si="35"/>
        <v>4.2785451305020752</v>
      </c>
      <c r="G68" s="646">
        <f t="shared" si="35"/>
        <v>6.1145377166471349</v>
      </c>
      <c r="H68" s="646" t="str">
        <f t="shared" si="35"/>
        <v/>
      </c>
      <c r="I68" s="646" t="str">
        <f t="shared" si="35"/>
        <v/>
      </c>
      <c r="J68" s="646" t="str">
        <f t="shared" si="35"/>
        <v/>
      </c>
      <c r="K68" s="646" t="str">
        <f t="shared" si="35"/>
        <v/>
      </c>
      <c r="L68" s="646" t="str">
        <f t="shared" si="35"/>
        <v/>
      </c>
      <c r="M68" s="646" t="str">
        <f t="shared" si="35"/>
        <v/>
      </c>
      <c r="N68" s="646" t="str">
        <f t="shared" si="35"/>
        <v/>
      </c>
      <c r="O68" s="646">
        <f t="shared" si="29"/>
        <v>3.5633139858157881</v>
      </c>
      <c r="P68" s="373"/>
      <c r="Q68" s="373"/>
      <c r="R68" s="420"/>
      <c r="S68" s="373"/>
      <c r="T68" s="373"/>
      <c r="U68" s="373"/>
      <c r="V68" s="373"/>
      <c r="W68" s="373"/>
      <c r="X68" s="373"/>
      <c r="Y68" s="373"/>
      <c r="Z68" s="373"/>
      <c r="AA68" s="373"/>
      <c r="AB68" s="373"/>
      <c r="AC68" s="373"/>
      <c r="AD68" s="373"/>
      <c r="AE68" s="373"/>
      <c r="AF68" s="373"/>
      <c r="AG68" s="373"/>
      <c r="AH68" s="373"/>
      <c r="AI68" s="373"/>
      <c r="AJ68" s="373"/>
      <c r="AK68" s="373"/>
      <c r="AL68" s="373"/>
      <c r="AM68" s="373"/>
      <c r="AN68" s="373"/>
      <c r="AO68" s="373"/>
      <c r="AP68" s="373"/>
      <c r="AQ68" s="373"/>
      <c r="AR68" s="373"/>
      <c r="AS68" s="373"/>
      <c r="AT68" s="373"/>
      <c r="AU68" s="373"/>
      <c r="AV68" s="373"/>
      <c r="AW68" s="373"/>
      <c r="AX68" s="373"/>
      <c r="AY68" s="373"/>
      <c r="AZ68" s="373"/>
    </row>
    <row r="69" spans="1:52" s="349" customFormat="1" ht="14.25" customHeight="1">
      <c r="A69" s="373"/>
      <c r="B69" s="373" t="s">
        <v>243</v>
      </c>
      <c r="C69" s="373"/>
      <c r="D69" s="423"/>
      <c r="E69" s="423"/>
      <c r="F69" s="423"/>
      <c r="G69" s="423"/>
      <c r="H69" s="423"/>
      <c r="I69" s="423"/>
      <c r="J69" s="423"/>
      <c r="K69" s="423"/>
      <c r="L69" s="423"/>
      <c r="M69" s="423"/>
      <c r="N69" s="423"/>
      <c r="O69" s="646" t="str">
        <f>IFERROR(+AVERAGE(D69:N69),"")</f>
        <v/>
      </c>
      <c r="P69" s="373"/>
      <c r="Q69" s="373"/>
      <c r="R69" s="420"/>
      <c r="S69" s="373"/>
      <c r="T69" s="373"/>
      <c r="U69" s="373"/>
      <c r="V69" s="373"/>
      <c r="W69" s="373"/>
      <c r="X69" s="373"/>
      <c r="Y69" s="373"/>
      <c r="Z69" s="373"/>
      <c r="AA69" s="373"/>
      <c r="AB69" s="373"/>
      <c r="AC69" s="373"/>
      <c r="AD69" s="373"/>
      <c r="AE69" s="373"/>
      <c r="AF69" s="373"/>
      <c r="AG69" s="373"/>
      <c r="AH69" s="373"/>
      <c r="AI69" s="373"/>
      <c r="AJ69" s="373"/>
      <c r="AK69" s="373"/>
      <c r="AL69" s="373"/>
      <c r="AM69" s="373"/>
      <c r="AN69" s="373"/>
      <c r="AO69" s="373"/>
      <c r="AP69" s="373"/>
      <c r="AQ69" s="373"/>
      <c r="AR69" s="373"/>
      <c r="AS69" s="373"/>
      <c r="AT69" s="373"/>
      <c r="AU69" s="373"/>
      <c r="AV69" s="373"/>
      <c r="AW69" s="373"/>
      <c r="AX69" s="373"/>
      <c r="AY69" s="373"/>
      <c r="AZ69" s="373"/>
    </row>
    <row r="70" spans="1:52" s="349" customFormat="1" ht="3.75" customHeight="1">
      <c r="A70" s="373"/>
      <c r="B70" s="373"/>
      <c r="C70" s="373"/>
      <c r="D70" s="373"/>
      <c r="E70" s="373"/>
      <c r="F70" s="373"/>
      <c r="G70" s="373"/>
      <c r="H70" s="373"/>
      <c r="I70" s="373"/>
      <c r="J70" s="373"/>
      <c r="K70" s="373"/>
      <c r="L70" s="373"/>
      <c r="M70" s="373"/>
      <c r="N70" s="373"/>
      <c r="O70" s="417"/>
      <c r="P70" s="373"/>
      <c r="Q70" s="373"/>
      <c r="R70" s="420"/>
      <c r="S70" s="373"/>
      <c r="T70" s="373"/>
      <c r="U70" s="373"/>
      <c r="V70" s="373"/>
      <c r="W70" s="373"/>
      <c r="X70" s="373"/>
      <c r="Y70" s="373"/>
      <c r="Z70" s="373"/>
      <c r="AA70" s="373"/>
      <c r="AB70" s="373"/>
      <c r="AC70" s="373"/>
      <c r="AD70" s="373"/>
      <c r="AE70" s="373"/>
      <c r="AF70" s="373"/>
      <c r="AG70" s="373"/>
      <c r="AH70" s="373"/>
      <c r="AI70" s="373"/>
      <c r="AJ70" s="373"/>
      <c r="AK70" s="373"/>
      <c r="AL70" s="373"/>
      <c r="AM70" s="373"/>
      <c r="AN70" s="373"/>
      <c r="AO70" s="373"/>
      <c r="AP70" s="373"/>
      <c r="AQ70" s="373"/>
      <c r="AR70" s="373"/>
      <c r="AS70" s="373"/>
      <c r="AT70" s="373"/>
      <c r="AU70" s="373"/>
      <c r="AV70" s="373"/>
      <c r="AW70" s="373"/>
      <c r="AX70" s="373"/>
      <c r="AY70" s="373"/>
      <c r="AZ70" s="373"/>
    </row>
    <row r="71" spans="1:52" s="352" customFormat="1" ht="14.25" customHeight="1">
      <c r="A71" s="382"/>
      <c r="B71" s="584" t="s">
        <v>244</v>
      </c>
      <c r="C71" s="585"/>
      <c r="D71" s="359" t="str">
        <f t="shared" ref="D71:O71" ca="1" si="36">+D29</f>
        <v>IONQ,</v>
      </c>
      <c r="E71" s="359" t="str">
        <f t="shared" ca="1" si="36"/>
        <v>RIGETTI</v>
      </c>
      <c r="F71" s="359" t="str">
        <f t="shared" ca="1" si="36"/>
        <v>D-WAVE</v>
      </c>
      <c r="G71" s="359" t="str">
        <f t="shared" ca="1" si="36"/>
        <v>QUANTUM</v>
      </c>
      <c r="H71" s="359" t="str">
        <f t="shared" si="36"/>
        <v/>
      </c>
      <c r="I71" s="359" t="str">
        <f t="shared" si="36"/>
        <v/>
      </c>
      <c r="J71" s="359" t="str">
        <f t="shared" si="36"/>
        <v/>
      </c>
      <c r="K71" s="359" t="str">
        <f t="shared" si="36"/>
        <v/>
      </c>
      <c r="L71" s="359" t="str">
        <f t="shared" si="36"/>
        <v/>
      </c>
      <c r="M71" s="359" t="str">
        <f t="shared" si="36"/>
        <v/>
      </c>
      <c r="N71" s="359" t="str">
        <f t="shared" si="36"/>
        <v/>
      </c>
      <c r="O71" s="359" t="str">
        <f t="shared" si="36"/>
        <v>Average</v>
      </c>
      <c r="P71" s="382"/>
      <c r="Q71" s="382"/>
      <c r="R71" s="586"/>
      <c r="S71" s="382"/>
      <c r="T71" s="382"/>
      <c r="U71" s="382"/>
      <c r="V71" s="382"/>
      <c r="W71" s="382"/>
      <c r="X71" s="382"/>
      <c r="Y71" s="382"/>
      <c r="Z71" s="382"/>
      <c r="AA71" s="382"/>
      <c r="AB71" s="382"/>
      <c r="AC71" s="382"/>
      <c r="AD71" s="382"/>
      <c r="AE71" s="382"/>
      <c r="AF71" s="382"/>
      <c r="AG71" s="382"/>
      <c r="AH71" s="382"/>
      <c r="AI71" s="382"/>
      <c r="AJ71" s="382"/>
      <c r="AK71" s="382"/>
      <c r="AL71" s="382"/>
      <c r="AM71" s="382"/>
      <c r="AN71" s="382"/>
      <c r="AO71" s="382"/>
      <c r="AP71" s="382"/>
      <c r="AQ71" s="382"/>
      <c r="AR71" s="382"/>
      <c r="AS71" s="382"/>
      <c r="AT71" s="382"/>
      <c r="AU71" s="382"/>
      <c r="AV71" s="382"/>
      <c r="AW71" s="382"/>
      <c r="AX71" s="382"/>
      <c r="AY71" s="382"/>
      <c r="AZ71" s="382"/>
    </row>
    <row r="72" spans="1:52" s="349" customFormat="1" ht="3.75" customHeight="1">
      <c r="A72" s="373"/>
      <c r="B72" s="408"/>
      <c r="C72" s="408"/>
      <c r="D72" s="408"/>
      <c r="E72" s="408"/>
      <c r="F72" s="408"/>
      <c r="G72" s="408"/>
      <c r="H72" s="408"/>
      <c r="I72" s="408"/>
      <c r="J72" s="408"/>
      <c r="K72" s="408"/>
      <c r="L72" s="408"/>
      <c r="M72" s="408"/>
      <c r="N72" s="408"/>
      <c r="O72" s="419"/>
      <c r="P72" s="373"/>
      <c r="Q72" s="373"/>
      <c r="R72" s="420"/>
      <c r="S72" s="373"/>
      <c r="T72" s="373"/>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3"/>
    </row>
    <row r="73" spans="1:52" s="349" customFormat="1" ht="14.25" customHeight="1">
      <c r="A73" s="373"/>
      <c r="B73" s="373" t="s">
        <v>245</v>
      </c>
      <c r="C73" s="373"/>
      <c r="D73" s="423">
        <f>(203790/238880)</f>
        <v>0.85310616208975221</v>
      </c>
      <c r="E73" s="423">
        <f>(282400/285830)</f>
        <v>0.98799986005667706</v>
      </c>
      <c r="F73" s="423">
        <f>(276080/287820)</f>
        <v>0.95921061774720306</v>
      </c>
      <c r="G73" s="423">
        <f>(112180/137240)</f>
        <v>0.81740017487612937</v>
      </c>
      <c r="H73" s="423"/>
      <c r="I73" s="423"/>
      <c r="J73" s="423"/>
      <c r="K73" s="423"/>
      <c r="L73" s="423"/>
      <c r="M73" s="423"/>
      <c r="N73" s="423"/>
      <c r="O73" s="646">
        <f>IFERROR(+AVERAGE(D73:N73),"")</f>
        <v>0.9044292036924404</v>
      </c>
      <c r="P73" s="373"/>
      <c r="Q73" s="373"/>
      <c r="R73" s="420"/>
      <c r="S73" s="373"/>
      <c r="T73" s="373"/>
      <c r="U73" s="373"/>
      <c r="V73" s="373"/>
      <c r="W73" s="373"/>
      <c r="X73" s="373"/>
      <c r="Y73" s="373"/>
      <c r="Z73" s="373"/>
      <c r="AA73" s="373"/>
      <c r="AB73" s="373"/>
      <c r="AC73" s="373"/>
      <c r="AD73" s="373"/>
      <c r="AE73" s="373"/>
      <c r="AF73" s="373"/>
      <c r="AG73" s="373"/>
      <c r="AH73" s="373"/>
      <c r="AI73" s="373"/>
      <c r="AJ73" s="373"/>
      <c r="AK73" s="373"/>
      <c r="AL73" s="373"/>
      <c r="AM73" s="373"/>
      <c r="AN73" s="373"/>
      <c r="AO73" s="373"/>
      <c r="AP73" s="373"/>
      <c r="AQ73" s="373"/>
      <c r="AR73" s="373"/>
      <c r="AS73" s="373"/>
      <c r="AT73" s="373"/>
      <c r="AU73" s="373"/>
      <c r="AV73" s="373"/>
      <c r="AW73" s="373"/>
      <c r="AX73" s="373"/>
      <c r="AY73" s="373"/>
      <c r="AZ73" s="373"/>
    </row>
    <row r="74" spans="1:52" s="349" customFormat="1" ht="14.25" customHeight="1">
      <c r="A74" s="373"/>
      <c r="B74" s="373" t="s">
        <v>246</v>
      </c>
      <c r="C74" s="373"/>
      <c r="D74" s="398" cm="1">
        <f t="array" aca="1" ref="D74" ca="1">IFERROR(_FV(D91,"Beta"),"")</f>
        <v>2.5362</v>
      </c>
      <c r="E74" s="398" cm="1">
        <f t="array" aca="1" ref="E74" ca="1">IFERROR(_FV(E91,"Beta"),"")</f>
        <v>1.4372</v>
      </c>
      <c r="F74" s="398" cm="1">
        <f t="array" aca="1" ref="F74" ca="1">IFERROR(_FV(F91,"Beta"),"")</f>
        <v>1.3794999999999999</v>
      </c>
      <c r="G74" s="398" cm="1">
        <f t="array" aca="1" ref="G74" ca="1">IFERROR(_FV(G91,"Beta"),"")</f>
        <v>3.8584000000000001</v>
      </c>
      <c r="H74" s="398"/>
      <c r="I74" s="398"/>
      <c r="J74" s="398"/>
      <c r="K74" s="398" t="str" cm="1">
        <f t="array" ref="K74">IFERROR(_FV(K91,"Beta"),"")</f>
        <v/>
      </c>
      <c r="L74" s="398" t="str" cm="1">
        <f t="array" ref="L74">IFERROR(_FV(L91,"Beta"),"")</f>
        <v/>
      </c>
      <c r="M74" s="398" t="str" cm="1">
        <f t="array" ref="M74">IFERROR(_FV(M91,"Beta"),"")</f>
        <v/>
      </c>
      <c r="N74" s="398" t="str" cm="1">
        <f t="array" ref="N74">IFERROR(_FV(N91,"Beta"),"")</f>
        <v/>
      </c>
      <c r="O74" s="647">
        <f t="shared" ref="O74:O75" ca="1" si="37">IFERROR(+AVERAGE(D74:N74),"")</f>
        <v>2.3028249999999999</v>
      </c>
      <c r="P74" s="373"/>
      <c r="Q74" s="373"/>
      <c r="R74" s="420"/>
      <c r="S74" s="373"/>
      <c r="T74" s="373"/>
      <c r="U74" s="373"/>
      <c r="V74" s="373"/>
      <c r="W74" s="373"/>
      <c r="X74" s="373"/>
      <c r="Y74" s="373"/>
      <c r="Z74" s="373"/>
      <c r="AA74" s="373"/>
      <c r="AB74" s="373"/>
      <c r="AC74" s="373"/>
      <c r="AD74" s="373"/>
      <c r="AE74" s="373"/>
      <c r="AF74" s="373"/>
      <c r="AG74" s="373"/>
      <c r="AH74" s="373"/>
      <c r="AI74" s="373"/>
      <c r="AJ74" s="373"/>
      <c r="AK74" s="373"/>
      <c r="AL74" s="373"/>
      <c r="AM74" s="373"/>
      <c r="AN74" s="373"/>
      <c r="AO74" s="373"/>
      <c r="AP74" s="373"/>
      <c r="AQ74" s="373"/>
      <c r="AR74" s="373"/>
      <c r="AS74" s="373"/>
      <c r="AT74" s="373"/>
      <c r="AU74" s="373"/>
      <c r="AV74" s="373"/>
      <c r="AW74" s="373"/>
      <c r="AX74" s="373"/>
      <c r="AY74" s="373"/>
      <c r="AZ74" s="373"/>
    </row>
    <row r="75" spans="1:52" s="349" customFormat="1" ht="14.1" customHeight="1">
      <c r="A75" s="373"/>
      <c r="B75" s="373" t="s">
        <v>247</v>
      </c>
      <c r="C75" s="373"/>
      <c r="D75" s="398">
        <f ca="1">IFERROR(D74/(1+(1-D104/D103)*(D121/D122)),"")</f>
        <v>2.4242587453136664</v>
      </c>
      <c r="E75" s="398">
        <f ca="1">IFERROR(E74/(1+(1-E104/E103)*(E121/E122)),"")</f>
        <v>1.3437850253713373</v>
      </c>
      <c r="F75" s="398">
        <f t="shared" ref="F75:N75" ca="1" si="38">IFERROR(F74/(1+(1-F104/F103)*(F121/F122)),"")</f>
        <v>0.8554503132949921</v>
      </c>
      <c r="G75" s="398">
        <f t="shared" ca="1" si="38"/>
        <v>3.8163897260021393</v>
      </c>
      <c r="H75" s="398"/>
      <c r="I75" s="398"/>
      <c r="J75" s="398"/>
      <c r="K75" s="398" t="str">
        <f t="shared" si="38"/>
        <v/>
      </c>
      <c r="L75" s="398" t="str">
        <f t="shared" si="38"/>
        <v/>
      </c>
      <c r="M75" s="398" t="str">
        <f t="shared" si="38"/>
        <v/>
      </c>
      <c r="N75" s="398" t="str">
        <f t="shared" si="38"/>
        <v/>
      </c>
      <c r="O75" s="647">
        <f t="shared" ca="1" si="37"/>
        <v>2.1099709524955337</v>
      </c>
      <c r="P75" s="373"/>
      <c r="Q75" s="373"/>
      <c r="R75" s="420"/>
      <c r="S75" s="373"/>
      <c r="T75" s="373"/>
      <c r="U75" s="373"/>
      <c r="V75" s="373"/>
      <c r="W75" s="373"/>
      <c r="X75" s="373"/>
      <c r="Y75" s="373"/>
      <c r="Z75" s="373"/>
      <c r="AA75" s="373"/>
      <c r="AB75" s="373"/>
      <c r="AC75" s="373"/>
      <c r="AD75" s="373"/>
      <c r="AE75" s="373"/>
      <c r="AF75" s="373"/>
      <c r="AG75" s="373"/>
      <c r="AH75" s="373"/>
      <c r="AI75" s="373"/>
      <c r="AJ75" s="373"/>
      <c r="AK75" s="373"/>
      <c r="AL75" s="373"/>
      <c r="AM75" s="373"/>
      <c r="AN75" s="373"/>
      <c r="AO75" s="373"/>
      <c r="AP75" s="373"/>
      <c r="AQ75" s="373"/>
      <c r="AR75" s="373"/>
      <c r="AS75" s="373"/>
      <c r="AT75" s="373"/>
      <c r="AU75" s="373"/>
      <c r="AV75" s="373"/>
      <c r="AW75" s="373"/>
      <c r="AX75" s="373"/>
      <c r="AY75" s="373"/>
      <c r="AZ75" s="373"/>
    </row>
    <row r="76" spans="1:52" s="349" customFormat="1" ht="14.25" customHeight="1">
      <c r="A76" s="373"/>
      <c r="B76" s="373" t="s">
        <v>44</v>
      </c>
      <c r="C76" s="373"/>
      <c r="D76" s="423">
        <v>8.5400000000000004E-2</v>
      </c>
      <c r="E76" s="423">
        <v>1.01E-2</v>
      </c>
      <c r="F76" s="423">
        <v>1.7600000000000001E-2</v>
      </c>
      <c r="G76" s="423">
        <v>0.18049999999999999</v>
      </c>
      <c r="H76" s="423"/>
      <c r="I76" s="423"/>
      <c r="J76" s="423"/>
      <c r="K76" s="423"/>
      <c r="L76" s="423"/>
      <c r="M76" s="423"/>
      <c r="N76" s="423"/>
      <c r="O76" s="646">
        <f t="shared" ref="O76:O78" si="39">IFERROR(+AVERAGE(D76:N76),"")</f>
        <v>7.3399999999999993E-2</v>
      </c>
      <c r="P76" s="373"/>
      <c r="Q76" s="373"/>
      <c r="R76" s="420"/>
      <c r="S76" s="373"/>
      <c r="T76" s="373"/>
      <c r="U76" s="373"/>
      <c r="V76" s="373"/>
      <c r="W76" s="373"/>
      <c r="X76" s="373"/>
      <c r="Y76" s="373"/>
      <c r="Z76" s="373"/>
      <c r="AA76" s="373"/>
      <c r="AB76" s="373"/>
      <c r="AC76" s="373"/>
      <c r="AD76" s="373"/>
      <c r="AE76" s="373"/>
      <c r="AF76" s="373"/>
      <c r="AG76" s="373"/>
      <c r="AH76" s="373"/>
      <c r="AI76" s="373"/>
      <c r="AJ76" s="373"/>
      <c r="AK76" s="373"/>
      <c r="AL76" s="373"/>
      <c r="AM76" s="373"/>
      <c r="AN76" s="373"/>
      <c r="AO76" s="373"/>
      <c r="AP76" s="373"/>
      <c r="AQ76" s="373"/>
      <c r="AR76" s="373"/>
      <c r="AS76" s="373"/>
      <c r="AT76" s="373"/>
      <c r="AU76" s="373"/>
      <c r="AV76" s="373"/>
      <c r="AW76" s="373"/>
      <c r="AX76" s="373"/>
      <c r="AY76" s="373"/>
      <c r="AZ76" s="373"/>
    </row>
    <row r="77" spans="1:52" s="349" customFormat="1" ht="14.25" customHeight="1">
      <c r="A77" s="373"/>
      <c r="B77" s="373" t="s">
        <v>45</v>
      </c>
      <c r="C77" s="373"/>
      <c r="D77" s="423">
        <v>0.37380000000000002</v>
      </c>
      <c r="E77" s="423">
        <v>0.24149999999999999</v>
      </c>
      <c r="F77" s="423">
        <v>0.19500000000000001</v>
      </c>
      <c r="G77" s="423">
        <v>0.16639999999999999</v>
      </c>
      <c r="H77" s="423"/>
      <c r="I77" s="423"/>
      <c r="J77" s="423"/>
      <c r="K77" s="423"/>
      <c r="L77" s="423"/>
      <c r="M77" s="423"/>
      <c r="N77" s="423"/>
      <c r="O77" s="646">
        <f t="shared" si="39"/>
        <v>0.244175</v>
      </c>
      <c r="P77" s="373"/>
      <c r="Q77" s="373"/>
      <c r="R77" s="420"/>
      <c r="S77" s="373"/>
      <c r="T77" s="373"/>
      <c r="U77" s="373"/>
      <c r="V77" s="373"/>
      <c r="W77" s="373"/>
      <c r="X77" s="373"/>
      <c r="Y77" s="373"/>
      <c r="Z77" s="373"/>
      <c r="AA77" s="373"/>
      <c r="AB77" s="373"/>
      <c r="AC77" s="373"/>
      <c r="AD77" s="373"/>
      <c r="AE77" s="373"/>
      <c r="AF77" s="373"/>
      <c r="AG77" s="373"/>
      <c r="AH77" s="373"/>
      <c r="AI77" s="373"/>
      <c r="AJ77" s="373"/>
      <c r="AK77" s="373"/>
      <c r="AL77" s="373"/>
      <c r="AM77" s="373"/>
      <c r="AN77" s="373"/>
      <c r="AO77" s="373"/>
      <c r="AP77" s="373"/>
      <c r="AQ77" s="373"/>
      <c r="AR77" s="373"/>
      <c r="AS77" s="373"/>
      <c r="AT77" s="373"/>
      <c r="AU77" s="373"/>
      <c r="AV77" s="373"/>
      <c r="AW77" s="373"/>
      <c r="AX77" s="373"/>
      <c r="AY77" s="373"/>
      <c r="AZ77" s="373"/>
    </row>
    <row r="78" spans="1:52" s="349" customFormat="1" ht="14.25" customHeight="1">
      <c r="A78" s="373"/>
      <c r="B78" s="373" t="s">
        <v>248</v>
      </c>
      <c r="C78" s="373"/>
      <c r="D78" s="423">
        <v>0.14660000000000001</v>
      </c>
      <c r="E78" s="423">
        <v>0.2606</v>
      </c>
      <c r="F78" s="423">
        <v>0.2266</v>
      </c>
      <c r="G78" s="423">
        <v>0.20960000000000001</v>
      </c>
      <c r="H78" s="423"/>
      <c r="I78" s="423"/>
      <c r="J78" s="423"/>
      <c r="K78" s="423"/>
      <c r="L78" s="423"/>
      <c r="M78" s="423"/>
      <c r="N78" s="423"/>
      <c r="O78" s="646">
        <f t="shared" si="39"/>
        <v>0.21085000000000001</v>
      </c>
      <c r="P78" s="373"/>
      <c r="Q78" s="373"/>
      <c r="R78" s="420"/>
      <c r="S78" s="373"/>
      <c r="T78" s="373"/>
      <c r="U78" s="373"/>
      <c r="V78" s="373"/>
      <c r="W78" s="373"/>
      <c r="X78" s="373"/>
      <c r="Y78" s="373"/>
      <c r="Z78" s="373"/>
      <c r="AA78" s="373"/>
      <c r="AB78" s="373"/>
      <c r="AC78" s="373"/>
      <c r="AD78" s="373"/>
      <c r="AE78" s="373"/>
      <c r="AF78" s="373"/>
      <c r="AG78" s="373"/>
      <c r="AH78" s="373"/>
      <c r="AI78" s="373"/>
      <c r="AJ78" s="373"/>
      <c r="AK78" s="373"/>
      <c r="AL78" s="373"/>
      <c r="AM78" s="373"/>
      <c r="AN78" s="373"/>
      <c r="AO78" s="373"/>
      <c r="AP78" s="373"/>
      <c r="AQ78" s="373"/>
      <c r="AR78" s="373"/>
      <c r="AS78" s="373"/>
      <c r="AT78" s="373"/>
      <c r="AU78" s="373"/>
      <c r="AV78" s="373"/>
      <c r="AW78" s="373"/>
      <c r="AX78" s="373"/>
      <c r="AY78" s="373"/>
      <c r="AZ78" s="373"/>
    </row>
    <row r="79" spans="1:52" s="349" customFormat="1" ht="3.75" customHeight="1">
      <c r="A79" s="373"/>
      <c r="B79" s="373"/>
      <c r="C79" s="373"/>
      <c r="D79" s="373"/>
      <c r="E79" s="373"/>
      <c r="F79" s="373"/>
      <c r="G79" s="373"/>
      <c r="H79" s="373"/>
      <c r="I79" s="373"/>
      <c r="J79" s="373"/>
      <c r="K79" s="373"/>
      <c r="L79" s="373"/>
      <c r="M79" s="373"/>
      <c r="N79" s="373"/>
      <c r="O79" s="373"/>
      <c r="P79" s="373"/>
      <c r="Q79" s="373"/>
      <c r="R79" s="420"/>
      <c r="S79" s="373"/>
      <c r="T79" s="373"/>
      <c r="U79" s="373"/>
      <c r="V79" s="373"/>
      <c r="W79" s="373"/>
      <c r="X79" s="373"/>
      <c r="Y79" s="373"/>
      <c r="Z79" s="373"/>
      <c r="AA79" s="373"/>
      <c r="AB79" s="373"/>
      <c r="AC79" s="373"/>
      <c r="AD79" s="373"/>
      <c r="AE79" s="373"/>
      <c r="AF79" s="373"/>
      <c r="AG79" s="373"/>
      <c r="AH79" s="373"/>
      <c r="AI79" s="373"/>
      <c r="AJ79" s="373"/>
      <c r="AK79" s="373"/>
      <c r="AL79" s="373"/>
      <c r="AM79" s="373"/>
      <c r="AN79" s="373"/>
      <c r="AO79" s="373"/>
      <c r="AP79" s="373"/>
      <c r="AQ79" s="373"/>
      <c r="AR79" s="373"/>
      <c r="AS79" s="373"/>
      <c r="AT79" s="373"/>
      <c r="AU79" s="373"/>
      <c r="AV79" s="373"/>
      <c r="AW79" s="373"/>
      <c r="AX79" s="373"/>
      <c r="AY79" s="373"/>
      <c r="AZ79" s="373"/>
    </row>
    <row r="80" spans="1:52" s="352" customFormat="1" ht="14.25" customHeight="1">
      <c r="A80" s="382"/>
      <c r="B80" s="584" t="s">
        <v>91</v>
      </c>
      <c r="C80" s="585"/>
      <c r="D80" s="359" t="str">
        <f t="shared" ref="D80:O80" ca="1" si="40">+D29</f>
        <v>IONQ,</v>
      </c>
      <c r="E80" s="359" t="str">
        <f t="shared" ca="1" si="40"/>
        <v>RIGETTI</v>
      </c>
      <c r="F80" s="359" t="str">
        <f t="shared" ca="1" si="40"/>
        <v>D-WAVE</v>
      </c>
      <c r="G80" s="359" t="str">
        <f t="shared" ca="1" si="40"/>
        <v>QUANTUM</v>
      </c>
      <c r="H80" s="359" t="str">
        <f t="shared" si="40"/>
        <v/>
      </c>
      <c r="I80" s="359" t="str">
        <f t="shared" si="40"/>
        <v/>
      </c>
      <c r="J80" s="359" t="str">
        <f t="shared" si="40"/>
        <v/>
      </c>
      <c r="K80" s="359" t="str">
        <f t="shared" si="40"/>
        <v/>
      </c>
      <c r="L80" s="359" t="str">
        <f t="shared" si="40"/>
        <v/>
      </c>
      <c r="M80" s="359" t="str">
        <f t="shared" si="40"/>
        <v/>
      </c>
      <c r="N80" s="359" t="str">
        <f t="shared" si="40"/>
        <v/>
      </c>
      <c r="O80" s="359" t="str">
        <f t="shared" si="40"/>
        <v>Average</v>
      </c>
      <c r="P80" s="382"/>
      <c r="Q80" s="382"/>
      <c r="R80" s="586"/>
      <c r="S80" s="382"/>
      <c r="T80" s="382"/>
      <c r="U80" s="382"/>
      <c r="V80" s="382"/>
      <c r="W80" s="382"/>
      <c r="X80" s="382"/>
      <c r="Y80" s="382"/>
      <c r="Z80" s="382"/>
      <c r="AA80" s="382"/>
      <c r="AB80" s="382"/>
      <c r="AC80" s="382"/>
      <c r="AD80" s="382"/>
      <c r="AE80" s="382"/>
      <c r="AF80" s="382"/>
      <c r="AG80" s="382"/>
      <c r="AH80" s="382"/>
      <c r="AI80" s="382"/>
      <c r="AJ80" s="382"/>
      <c r="AK80" s="382"/>
      <c r="AL80" s="382"/>
      <c r="AM80" s="382"/>
      <c r="AN80" s="382"/>
      <c r="AO80" s="382"/>
      <c r="AP80" s="382"/>
      <c r="AQ80" s="382"/>
      <c r="AR80" s="382"/>
      <c r="AS80" s="382"/>
      <c r="AT80" s="382"/>
      <c r="AU80" s="382"/>
      <c r="AV80" s="382"/>
      <c r="AW80" s="382"/>
      <c r="AX80" s="382"/>
      <c r="AY80" s="382"/>
      <c r="AZ80" s="382"/>
    </row>
    <row r="81" spans="1:52" s="349" customFormat="1" ht="3.75" customHeight="1">
      <c r="A81" s="373"/>
      <c r="B81" s="408"/>
      <c r="C81" s="408"/>
      <c r="D81" s="408"/>
      <c r="E81" s="408"/>
      <c r="F81" s="408"/>
      <c r="G81" s="408"/>
      <c r="H81" s="408"/>
      <c r="I81" s="408"/>
      <c r="J81" s="408"/>
      <c r="K81" s="408"/>
      <c r="L81" s="408"/>
      <c r="M81" s="408"/>
      <c r="N81" s="408"/>
      <c r="O81" s="408"/>
      <c r="P81" s="373"/>
      <c r="Q81" s="373"/>
      <c r="R81" s="420"/>
      <c r="S81" s="373"/>
      <c r="T81" s="373"/>
      <c r="U81" s="373"/>
      <c r="V81" s="373"/>
      <c r="W81" s="373"/>
      <c r="X81" s="373"/>
      <c r="Y81" s="373"/>
      <c r="Z81" s="373"/>
      <c r="AA81" s="373"/>
      <c r="AB81" s="373"/>
      <c r="AC81" s="373"/>
      <c r="AD81" s="373"/>
      <c r="AE81" s="373"/>
      <c r="AF81" s="373"/>
      <c r="AG81" s="373"/>
      <c r="AH81" s="373"/>
      <c r="AI81" s="373"/>
      <c r="AJ81" s="373"/>
      <c r="AK81" s="373"/>
      <c r="AL81" s="373"/>
      <c r="AM81" s="373"/>
      <c r="AN81" s="373"/>
      <c r="AO81" s="373"/>
      <c r="AP81" s="373"/>
      <c r="AQ81" s="373"/>
      <c r="AR81" s="373"/>
      <c r="AS81" s="373"/>
      <c r="AT81" s="373"/>
      <c r="AU81" s="373"/>
      <c r="AV81" s="373"/>
      <c r="AW81" s="373"/>
      <c r="AX81" s="373"/>
      <c r="AY81" s="373"/>
      <c r="AZ81" s="373"/>
    </row>
    <row r="82" spans="1:52" s="349" customFormat="1" ht="14.25" customHeight="1">
      <c r="A82" s="373"/>
      <c r="B82" s="373" t="s">
        <v>249</v>
      </c>
      <c r="C82" s="373"/>
      <c r="D82" s="424" cm="1">
        <f t="array" aca="1" ref="D82" ca="1">IFERROR((D85/_xlfn.STOCKHISTORY(C6,TODAY()-1,TODAY()-1,0,0,1))-1,"Non-trading days")</f>
        <v>0.16913921360255069</v>
      </c>
      <c r="E82" s="424" t="str" cm="1">
        <f t="array" aca="1" ref="E82" ca="1">IFERROR((E85/_xlfn.STOCKHISTORY(C8,TODAY()-1,TODAY()-1,0,0,1))-1,"Non-trading days")</f>
        <v>Non-trading days</v>
      </c>
      <c r="F82" s="424" t="str" cm="1">
        <f t="array" aca="1" ref="F82" ca="1">IFERROR((F85/_xlfn.STOCKHISTORY(C9,TODAY()-1,TODAY()-1,0,0,1))-1,"Non-trading days")</f>
        <v>Non-trading days</v>
      </c>
      <c r="G82" s="424" t="str" cm="1">
        <f t="array" aca="1" ref="G82" ca="1">IFERROR((G85/_xlfn.STOCKHISTORY(C10,TODAY()-1,TODAY()-1,0,0,1))-1,"Non-trading days")</f>
        <v>Non-trading days</v>
      </c>
      <c r="H82" s="424" t="str" cm="1">
        <f t="array" aca="1" ref="H82" ca="1">IFERROR((K85/_xlfn.STOCKHISTORY(C11,TODAY()-1,TODAY()-1,0,0,1))-1,"Non-trading days")</f>
        <v>Non-trading days</v>
      </c>
      <c r="I82" s="424" t="str" cm="1">
        <f t="array" aca="1" ref="I82" ca="1">IFERROR((L85/_xlfn.STOCKHISTORY(C12,TODAY()-1,TODAY()-1,0,0,1))-1,"Non-trading days")</f>
        <v>Non-trading days</v>
      </c>
      <c r="J82" s="424" t="str" cm="1">
        <f t="array" aca="1" ref="J82" ca="1">IFERROR((M85/_xlfn.STOCKHISTORY(C13,TODAY()-1,TODAY()-1,0,0,1))-1,"Non-trading days")</f>
        <v>Non-trading days</v>
      </c>
      <c r="K82" s="424" t="str" cm="1">
        <f t="array" aca="1" ref="K82" ca="1">IFERROR((N85/_xlfn.STOCKHISTORY(C14,TODAY()-1,TODAY()-1,0,0,1))-1,"Non-trading days")</f>
        <v>Non-trading days</v>
      </c>
      <c r="L82" s="424" t="str" cm="1">
        <f t="array" aca="1" ref="L82" ca="1">IFERROR((L85/_xlfn.STOCKHISTORY(C15,TODAY()-1,TODAY()-1,0,0,1))-1,"Non-trading days")</f>
        <v>Non-trading days</v>
      </c>
      <c r="M82" s="424" t="str" cm="1">
        <f t="array" aca="1" ref="M82" ca="1">IFERROR((M85/_xlfn.STOCKHISTORY(C16,TODAY()-1,TODAY()-1,0,0,1))-1,"Non-trading days")</f>
        <v>Non-trading days</v>
      </c>
      <c r="N82" s="424" t="str" cm="1">
        <f t="array" aca="1" ref="N82" ca="1">IFERROR((N85/_xlfn.STOCKHISTORY(C17,TODAY()-1,TODAY()-1,0,0,1))-1,"Non-trading days")</f>
        <v>Non-trading days</v>
      </c>
      <c r="O82" s="421">
        <f ca="1">IFERROR(+AVERAGE(D82:N82),"")</f>
        <v>0.16913921360255069</v>
      </c>
      <c r="P82" s="373"/>
      <c r="Q82" s="373"/>
      <c r="R82" s="420"/>
      <c r="S82" s="373"/>
      <c r="T82" s="373"/>
      <c r="U82" s="373"/>
      <c r="V82" s="373"/>
      <c r="W82" s="373"/>
      <c r="X82" s="373"/>
      <c r="Y82" s="373"/>
      <c r="Z82" s="373"/>
      <c r="AA82" s="373"/>
      <c r="AB82" s="373"/>
      <c r="AC82" s="373"/>
      <c r="AD82" s="373"/>
      <c r="AE82" s="373"/>
      <c r="AF82" s="373"/>
      <c r="AG82" s="373"/>
      <c r="AH82" s="373"/>
      <c r="AI82" s="373"/>
      <c r="AJ82" s="373"/>
      <c r="AK82" s="373"/>
      <c r="AL82" s="373"/>
      <c r="AM82" s="373"/>
      <c r="AN82" s="373"/>
      <c r="AO82" s="373"/>
      <c r="AP82" s="373"/>
      <c r="AQ82" s="373"/>
      <c r="AR82" s="373"/>
      <c r="AS82" s="373"/>
      <c r="AT82" s="373"/>
      <c r="AU82" s="373"/>
      <c r="AV82" s="373"/>
      <c r="AW82" s="373"/>
      <c r="AX82" s="373"/>
      <c r="AY82" s="373"/>
      <c r="AZ82" s="373"/>
    </row>
    <row r="83" spans="1:52" s="349" customFormat="1" ht="14.25" customHeight="1">
      <c r="A83" s="373"/>
      <c r="B83" s="373" t="s">
        <v>250</v>
      </c>
      <c r="C83" s="373"/>
      <c r="D83" s="424" cm="1">
        <f t="array" aca="1" ref="D83" ca="1">IFERROR((D85/_xlfn.STOCKHISTORY(C6,TODAY()-29,TODAY()-29,0,0,1))-1,"Non-trading days")</f>
        <v>0.34067755300999281</v>
      </c>
      <c r="E83" s="424" cm="1">
        <f t="array" aca="1" ref="E83" ca="1">IFERROR((E85/_xlfn.STOCKHISTORY(C8,TODAY()-29,TODAY()-29,0,0,1))-1,"Non-trading days")</f>
        <v>7.5361512791991103E-2</v>
      </c>
      <c r="F83" s="424" t="str" cm="1">
        <f t="array" aca="1" ref="F83" ca="1">IFERROR((F85/_xlfn.STOCKHISTORY(C9,TODAY()-29,TODAY()-29,0,0,1))-1,"Non-trading days")</f>
        <v>Non-trading days</v>
      </c>
      <c r="G83" s="424" t="str" cm="1">
        <f t="array" aca="1" ref="G83" ca="1">IFERROR((G85/_xlfn.STOCKHISTORY(C10,TODAY()-29,TODAY()-29,0,0,1))-1,"Non-trading days")</f>
        <v>Non-trading days</v>
      </c>
      <c r="H83" s="424" t="str" cm="1">
        <f t="array" aca="1" ref="H83" ca="1">IFERROR((K85/_xlfn.STOCKHISTORY(C11,TODAY()-29,TODAY()-29,0,0,1))-1,"Non-trading days")</f>
        <v>Non-trading days</v>
      </c>
      <c r="I83" s="424" t="str" cm="1">
        <f t="array" aca="1" ref="I83" ca="1">IFERROR((L85/_xlfn.STOCKHISTORY(C12,TODAY()-29,TODAY()-29,0,0,1))-1,"Non-trading days")</f>
        <v>Non-trading days</v>
      </c>
      <c r="J83" s="424" t="str" cm="1">
        <f t="array" aca="1" ref="J83" ca="1">IFERROR((M85/_xlfn.STOCKHISTORY(C13,TODAY()-29,TODAY()-29,0,0,1))-1,"Non-trading days")</f>
        <v>Non-trading days</v>
      </c>
      <c r="K83" s="424" t="str" cm="1">
        <f t="array" aca="1" ref="K83" ca="1">IFERROR((N85/_xlfn.STOCKHISTORY(C14,TODAY()-29,TODAY()-29,0,0,1))-1,"Non-trading days")</f>
        <v>Non-trading days</v>
      </c>
      <c r="L83" s="424" t="str" cm="1">
        <f t="array" aca="1" ref="L83" ca="1">IFERROR((L85/_xlfn.STOCKHISTORY(C15,TODAY()-29,TODAY()-29,0,0,1))-1,"Non-trading days")</f>
        <v>Non-trading days</v>
      </c>
      <c r="M83" s="424" t="str" cm="1">
        <f t="array" aca="1" ref="M83" ca="1">IFERROR((M85/_xlfn.STOCKHISTORY(C16,TODAY()-29,TODAY()-29,0,0,1))-1,"Non-trading days")</f>
        <v>Non-trading days</v>
      </c>
      <c r="N83" s="424" t="str" cm="1">
        <f t="array" aca="1" ref="N83" ca="1">IFERROR((N85/_xlfn.STOCKHISTORY(C17,TODAY()-29,TODAY()-29,0,0,1))-1,"Non-trading days")</f>
        <v>Non-trading days</v>
      </c>
      <c r="O83" s="421">
        <f ca="1">IFERROR(AVERAGE(D83:N83),"")</f>
        <v>0.20801953290099195</v>
      </c>
      <c r="P83" s="373"/>
      <c r="Q83" s="373"/>
      <c r="R83" s="420"/>
      <c r="S83" s="373"/>
      <c r="T83" s="373"/>
      <c r="U83" s="373"/>
      <c r="V83" s="373"/>
      <c r="W83" s="373"/>
      <c r="X83" s="373"/>
      <c r="Y83" s="373"/>
      <c r="Z83" s="373"/>
      <c r="AA83" s="373"/>
      <c r="AB83" s="373"/>
      <c r="AC83" s="373"/>
      <c r="AD83" s="373"/>
      <c r="AE83" s="373"/>
      <c r="AF83" s="373"/>
      <c r="AG83" s="373"/>
      <c r="AH83" s="373"/>
      <c r="AI83" s="373"/>
      <c r="AJ83" s="373"/>
      <c r="AK83" s="373"/>
      <c r="AL83" s="373"/>
      <c r="AM83" s="373"/>
      <c r="AN83" s="373"/>
      <c r="AO83" s="373"/>
      <c r="AP83" s="373"/>
      <c r="AQ83" s="373"/>
      <c r="AR83" s="373"/>
      <c r="AS83" s="373"/>
      <c r="AT83" s="373"/>
      <c r="AU83" s="373"/>
      <c r="AV83" s="373"/>
      <c r="AW83" s="373"/>
      <c r="AX83" s="373"/>
      <c r="AY83" s="373"/>
      <c r="AZ83" s="373"/>
    </row>
    <row r="84" spans="1:52" s="349" customFormat="1" ht="14.25" customHeight="1">
      <c r="A84" s="373"/>
      <c r="B84" s="373" t="s">
        <v>251</v>
      </c>
      <c r="C84" s="373"/>
      <c r="D84" s="424" cm="1">
        <f t="array" aca="1" ref="D84" ca="1">IFERROR((D85/_xlfn.STOCKHISTORY(C6,"2025-01-02","2025-01-02",0,0,1))-1,"Non-trading days")</f>
        <v>0.27628770301624139</v>
      </c>
      <c r="E84" s="424" cm="1">
        <f t="array" aca="1" ref="E84" ca="1">IFERROR((E85/_xlfn.STOCKHISTORY(C8,"2025-01-02","2025-01-02",0,0,1))-1,"Non-trading days")</f>
        <v>-3.3250000000000002E-2</v>
      </c>
      <c r="F84" s="424" cm="1">
        <f t="array" aca="1" ref="F84" ca="1">IFERROR((F85/_xlfn.STOCKHISTORY(C9,"2025-01-02","2025-01-02",0,0,1))-1,"Non-trading days")</f>
        <v>0.85431841831425603</v>
      </c>
      <c r="G84" s="424" cm="1">
        <f t="array" aca="1" ref="G84" ca="1">IFERROR((G85/_xlfn.STOCKHISTORY(C10,"2025-01-02","2025-01-02",0,0,1))-1,"Non-trading days")</f>
        <v>-9.384164222873892E-2</v>
      </c>
      <c r="H84" s="424" t="str" cm="1">
        <f t="array" ref="H84">IFERROR((K85/_xlfn.STOCKHISTORY(C11,"2025-01-02","2025-01-02",0,0,1))-1,"Non-trading days")</f>
        <v>Non-trading days</v>
      </c>
      <c r="I84" s="424" t="str" cm="1">
        <f t="array" ref="I84">IFERROR((L85/_xlfn.STOCKHISTORY(C12,"2025-01-02","2025-01-02",0,0,1))-1,"Non-trading days")</f>
        <v>Non-trading days</v>
      </c>
      <c r="J84" s="424" t="str" cm="1">
        <f t="array" ref="J84">IFERROR((M85/_xlfn.STOCKHISTORY(C13,"2025-01-02","2025-01-02",0,0,1))-1,"Non-trading days")</f>
        <v>Non-trading days</v>
      </c>
      <c r="K84" s="424" t="str" cm="1">
        <f t="array" ref="K84">IFERROR((N85/_xlfn.STOCKHISTORY(C14,"2025-01-02","2025-01-02",0,0,1))-1,"Non-trading days")</f>
        <v>Non-trading days</v>
      </c>
      <c r="L84" s="424" t="str" cm="1">
        <f t="array" ref="L84">IFERROR((L85/_xlfn.STOCKHISTORY(C15,"2025-01-02","2025-01-02",0,0,1))-1,"Non-trading days")</f>
        <v>Non-trading days</v>
      </c>
      <c r="M84" s="424" t="str" cm="1">
        <f t="array" ref="M84">IFERROR((M85/_xlfn.STOCKHISTORY(C16,"2025-01-02","2025-01-02",0,0,1))-1,"Non-trading days")</f>
        <v>Non-trading days</v>
      </c>
      <c r="N84" s="424" t="str" cm="1">
        <f t="array" ref="N84">IFERROR((N85/_xlfn.STOCKHISTORY(C17,"2025-01-02","2025-01-02",0,0,1))-1,"Non-trading days")</f>
        <v>Non-trading days</v>
      </c>
      <c r="O84" s="421">
        <f ca="1">IFERROR(AVERAGE(D84:N84),"")</f>
        <v>0.25087861977543963</v>
      </c>
      <c r="P84" s="373"/>
      <c r="Q84" s="373"/>
      <c r="R84" s="420"/>
      <c r="S84" s="373"/>
      <c r="T84" s="373"/>
      <c r="U84" s="373"/>
      <c r="V84" s="373"/>
      <c r="W84" s="373"/>
      <c r="X84" s="373"/>
      <c r="Y84" s="373"/>
      <c r="Z84" s="373"/>
      <c r="AA84" s="373"/>
      <c r="AB84" s="373"/>
      <c r="AC84" s="373"/>
      <c r="AD84" s="373"/>
      <c r="AE84" s="373"/>
      <c r="AF84" s="373"/>
      <c r="AG84" s="373"/>
      <c r="AH84" s="373"/>
      <c r="AI84" s="373"/>
      <c r="AJ84" s="373"/>
      <c r="AK84" s="373"/>
      <c r="AL84" s="373"/>
      <c r="AM84" s="373"/>
      <c r="AN84" s="373"/>
      <c r="AO84" s="373"/>
      <c r="AP84" s="373"/>
      <c r="AQ84" s="373"/>
      <c r="AR84" s="373"/>
      <c r="AS84" s="373"/>
      <c r="AT84" s="373"/>
      <c r="AU84" s="373"/>
      <c r="AV84" s="373"/>
      <c r="AW84" s="373"/>
      <c r="AX84" s="373"/>
      <c r="AY84" s="373"/>
      <c r="AZ84" s="373"/>
    </row>
    <row r="85" spans="1:52" s="349" customFormat="1" ht="14.25" customHeight="1">
      <c r="A85" s="373"/>
      <c r="B85" s="373" t="s">
        <v>211</v>
      </c>
      <c r="C85" s="373"/>
      <c r="D85" s="416" cm="1">
        <f t="array" aca="1" ref="D85" ca="1">+IFERROR(_FV(D91,"Price"),"")</f>
        <v>55.008000000000003</v>
      </c>
      <c r="E85" s="416" cm="1">
        <f t="array" aca="1" ref="E85" ca="1">+IFERROR(_FV(E91,"Price"),"")</f>
        <v>19.335000000000001</v>
      </c>
      <c r="F85" s="416" cm="1">
        <f t="array" aca="1" ref="F85" ca="1">+IFERROR(_FV(F91,"Price"),"")</f>
        <v>17.82</v>
      </c>
      <c r="G85" s="416" cm="1">
        <f t="array" aca="1" ref="G85" ca="1">+IFERROR(_FV(G91,"Price"),"")</f>
        <v>16.995000000000001</v>
      </c>
      <c r="H85" s="416" t="str" cm="1">
        <f t="array" ref="H85">+IFERROR(_FV(H91,"Price"),"")</f>
        <v/>
      </c>
      <c r="I85" s="416" t="str" cm="1">
        <f t="array" ref="I85">+IFERROR(_FV(I91,"Price"),"")</f>
        <v/>
      </c>
      <c r="J85" s="416" t="str" cm="1">
        <f t="array" ref="J85">+IFERROR(_FV(J91,"Price"),"")</f>
        <v/>
      </c>
      <c r="K85" s="416" t="str" cm="1">
        <f t="array" ref="K85">+IFERROR(_FV(K91,"Price"),"")</f>
        <v/>
      </c>
      <c r="L85" s="416" t="str" cm="1">
        <f t="array" ref="L85">+IFERROR(_FV(L91,"Price"),"")</f>
        <v/>
      </c>
      <c r="M85" s="416" t="str" cm="1">
        <f t="array" ref="M85">+IFERROR(_FV(M91,"Price"),"")</f>
        <v/>
      </c>
      <c r="N85" s="416" t="str" cm="1">
        <f t="array" ref="N85">+IFERROR(_FV(N91,"Price"),"")</f>
        <v/>
      </c>
      <c r="O85" s="421">
        <f ca="1">IFERROR(AVERAGE(D85:N85),"")</f>
        <v>27.289500000000004</v>
      </c>
      <c r="P85" s="373"/>
      <c r="Q85" s="373"/>
      <c r="R85" s="420"/>
      <c r="S85" s="373"/>
      <c r="T85" s="373"/>
      <c r="U85" s="373"/>
      <c r="V85" s="373"/>
      <c r="W85" s="373"/>
      <c r="X85" s="373"/>
      <c r="Y85" s="373"/>
      <c r="Z85" s="373"/>
      <c r="AA85" s="373"/>
      <c r="AB85" s="373"/>
      <c r="AC85" s="373"/>
      <c r="AD85" s="373"/>
      <c r="AE85" s="373"/>
      <c r="AF85" s="373"/>
      <c r="AG85" s="373"/>
      <c r="AH85" s="373"/>
      <c r="AI85" s="373"/>
      <c r="AJ85" s="373"/>
      <c r="AK85" s="373"/>
      <c r="AL85" s="373"/>
      <c r="AM85" s="373"/>
      <c r="AN85" s="373"/>
      <c r="AO85" s="373"/>
      <c r="AP85" s="373"/>
      <c r="AQ85" s="373"/>
      <c r="AR85" s="373"/>
      <c r="AS85" s="373"/>
      <c r="AT85" s="373"/>
      <c r="AU85" s="373"/>
      <c r="AV85" s="373"/>
      <c r="AW85" s="373"/>
      <c r="AX85" s="373"/>
      <c r="AY85" s="373"/>
      <c r="AZ85" s="373"/>
    </row>
    <row r="86" spans="1:52" s="349" customFormat="1" ht="3.75" customHeight="1">
      <c r="A86" s="373"/>
      <c r="B86" s="373"/>
      <c r="C86" s="373"/>
      <c r="D86" s="373"/>
      <c r="E86" s="373"/>
      <c r="F86" s="373"/>
      <c r="G86" s="373"/>
      <c r="H86" s="373"/>
      <c r="I86" s="373"/>
      <c r="J86" s="373"/>
      <c r="K86" s="373"/>
      <c r="L86" s="373"/>
      <c r="M86" s="373"/>
      <c r="N86" s="373"/>
      <c r="O86" s="373"/>
      <c r="P86" s="373"/>
      <c r="Q86" s="373"/>
      <c r="R86" s="420"/>
      <c r="S86" s="373"/>
      <c r="T86" s="373"/>
      <c r="U86" s="373"/>
      <c r="V86" s="373"/>
      <c r="W86" s="373"/>
      <c r="X86" s="373"/>
      <c r="Y86" s="373"/>
      <c r="Z86" s="373"/>
      <c r="AA86" s="373"/>
      <c r="AB86" s="373"/>
      <c r="AC86" s="373"/>
      <c r="AD86" s="373"/>
      <c r="AE86" s="373"/>
      <c r="AF86" s="373"/>
      <c r="AG86" s="373"/>
      <c r="AH86" s="373"/>
      <c r="AI86" s="373"/>
      <c r="AJ86" s="373"/>
      <c r="AK86" s="373"/>
      <c r="AL86" s="373"/>
      <c r="AM86" s="373"/>
      <c r="AN86" s="373"/>
      <c r="AO86" s="373"/>
      <c r="AP86" s="373"/>
      <c r="AQ86" s="373"/>
      <c r="AR86" s="373"/>
      <c r="AS86" s="373"/>
      <c r="AT86" s="373"/>
      <c r="AU86" s="373"/>
      <c r="AV86" s="373"/>
      <c r="AW86" s="373"/>
      <c r="AX86" s="373"/>
      <c r="AY86" s="373"/>
      <c r="AZ86" s="373"/>
    </row>
    <row r="87" spans="1:52" s="352" customFormat="1" ht="14.25" customHeight="1">
      <c r="A87" s="382"/>
      <c r="B87" s="584" t="s">
        <v>252</v>
      </c>
      <c r="C87" s="585"/>
      <c r="D87" s="584"/>
      <c r="E87" s="584"/>
      <c r="F87" s="584"/>
      <c r="G87" s="584"/>
      <c r="H87" s="584"/>
      <c r="I87" s="584"/>
      <c r="J87" s="584"/>
      <c r="K87" s="584"/>
      <c r="L87" s="584"/>
      <c r="M87" s="584"/>
      <c r="N87" s="584"/>
      <c r="O87" s="584"/>
      <c r="P87" s="382"/>
      <c r="Q87" s="382"/>
      <c r="R87" s="586"/>
      <c r="S87" s="382"/>
      <c r="T87" s="382"/>
      <c r="U87" s="382"/>
      <c r="V87" s="382"/>
      <c r="W87" s="382"/>
      <c r="X87" s="382"/>
      <c r="Y87" s="382"/>
      <c r="Z87" s="382"/>
      <c r="AA87" s="382"/>
      <c r="AB87" s="382"/>
      <c r="AC87" s="382"/>
      <c r="AD87" s="382"/>
      <c r="AE87" s="382"/>
      <c r="AF87" s="382"/>
      <c r="AG87" s="382"/>
      <c r="AH87" s="382"/>
      <c r="AI87" s="382"/>
      <c r="AJ87" s="382"/>
      <c r="AK87" s="382"/>
      <c r="AL87" s="382"/>
      <c r="AM87" s="382"/>
      <c r="AN87" s="382"/>
      <c r="AO87" s="382"/>
      <c r="AP87" s="382"/>
      <c r="AQ87" s="382"/>
      <c r="AR87" s="382"/>
      <c r="AS87" s="382"/>
      <c r="AT87" s="382"/>
      <c r="AU87" s="382"/>
      <c r="AV87" s="382"/>
      <c r="AW87" s="382"/>
      <c r="AX87" s="382"/>
      <c r="AY87" s="382"/>
      <c r="AZ87" s="382"/>
    </row>
    <row r="88" spans="1:52" s="349" customFormat="1" ht="3.75" customHeight="1">
      <c r="A88" s="373"/>
      <c r="B88" s="408"/>
      <c r="C88" s="408"/>
      <c r="D88" s="408"/>
      <c r="E88" s="408"/>
      <c r="F88" s="408"/>
      <c r="G88" s="408"/>
      <c r="H88" s="408"/>
      <c r="I88" s="408"/>
      <c r="J88" s="408"/>
      <c r="K88" s="408"/>
      <c r="L88" s="408"/>
      <c r="M88" s="408"/>
      <c r="N88" s="408"/>
      <c r="O88" s="408"/>
      <c r="P88" s="373"/>
      <c r="Q88" s="373"/>
      <c r="R88" s="420"/>
      <c r="S88" s="373"/>
      <c r="T88" s="373"/>
      <c r="U88" s="373"/>
      <c r="V88" s="373"/>
      <c r="W88" s="373"/>
      <c r="X88" s="373"/>
      <c r="Y88" s="373"/>
      <c r="Z88" s="373"/>
      <c r="AA88" s="373"/>
      <c r="AB88" s="373"/>
      <c r="AC88" s="373"/>
      <c r="AD88" s="373"/>
      <c r="AE88" s="373"/>
      <c r="AF88" s="373"/>
      <c r="AG88" s="373"/>
      <c r="AH88" s="373"/>
      <c r="AI88" s="373"/>
      <c r="AJ88" s="373"/>
      <c r="AK88" s="373"/>
      <c r="AL88" s="373"/>
      <c r="AM88" s="373"/>
      <c r="AN88" s="373"/>
      <c r="AO88" s="373"/>
      <c r="AP88" s="373"/>
      <c r="AQ88" s="373"/>
      <c r="AR88" s="373"/>
      <c r="AS88" s="373"/>
      <c r="AT88" s="373"/>
      <c r="AU88" s="373"/>
      <c r="AV88" s="373"/>
      <c r="AW88" s="373"/>
      <c r="AX88" s="373"/>
      <c r="AY88" s="373"/>
      <c r="AZ88" s="373"/>
    </row>
    <row r="89" spans="1:52" s="349" customFormat="1" ht="14.25" customHeight="1">
      <c r="A89" s="373"/>
      <c r="B89" s="373" t="s">
        <v>253</v>
      </c>
      <c r="C89" s="373"/>
      <c r="D89" s="424">
        <v>0.94499999999999995</v>
      </c>
      <c r="E89" s="373"/>
      <c r="F89" s="373"/>
      <c r="G89" s="373"/>
      <c r="H89" s="373"/>
      <c r="I89" s="373"/>
      <c r="J89" s="373"/>
      <c r="K89" s="373"/>
      <c r="L89" s="373"/>
      <c r="M89" s="373"/>
      <c r="N89" s="373"/>
      <c r="O89" s="373"/>
      <c r="P89" s="373"/>
      <c r="Q89" s="373"/>
      <c r="R89" s="420"/>
      <c r="S89" s="373"/>
      <c r="T89" s="373"/>
      <c r="U89" s="373"/>
      <c r="V89" s="373"/>
      <c r="W89" s="373"/>
      <c r="X89" s="373"/>
      <c r="Y89" s="373"/>
      <c r="Z89" s="373"/>
      <c r="AA89" s="373"/>
      <c r="AB89" s="373"/>
      <c r="AC89" s="373"/>
      <c r="AD89" s="373"/>
      <c r="AE89" s="373"/>
      <c r="AF89" s="373"/>
      <c r="AG89" s="373"/>
      <c r="AH89" s="373"/>
      <c r="AI89" s="373"/>
      <c r="AJ89" s="373"/>
      <c r="AK89" s="373"/>
      <c r="AL89" s="373"/>
      <c r="AM89" s="373"/>
      <c r="AN89" s="373"/>
      <c r="AO89" s="373"/>
      <c r="AP89" s="373"/>
      <c r="AQ89" s="373"/>
      <c r="AR89" s="373"/>
      <c r="AS89" s="373"/>
      <c r="AT89" s="373"/>
      <c r="AU89" s="373"/>
      <c r="AV89" s="373"/>
      <c r="AW89" s="373"/>
      <c r="AX89" s="373"/>
      <c r="AY89" s="373"/>
      <c r="AZ89" s="373"/>
    </row>
    <row r="90" spans="1:52" s="349" customFormat="1" ht="5.25" customHeight="1">
      <c r="A90" s="373"/>
      <c r="B90" s="373"/>
      <c r="C90" s="373"/>
      <c r="D90" s="373"/>
      <c r="E90" s="373"/>
      <c r="F90" s="373"/>
      <c r="G90" s="373"/>
      <c r="H90" s="373"/>
      <c r="I90" s="373"/>
      <c r="J90" s="373"/>
      <c r="K90" s="373"/>
      <c r="L90" s="373"/>
      <c r="M90" s="373"/>
      <c r="N90" s="373"/>
      <c r="O90" s="373"/>
      <c r="P90" s="373"/>
      <c r="Q90" s="373"/>
      <c r="R90" s="420"/>
      <c r="S90" s="373"/>
      <c r="T90" s="373"/>
      <c r="U90" s="373"/>
      <c r="V90" s="373"/>
      <c r="W90" s="373"/>
      <c r="X90" s="373"/>
      <c r="Y90" s="373"/>
      <c r="Z90" s="373"/>
      <c r="AA90" s="373"/>
      <c r="AB90" s="373"/>
      <c r="AC90" s="373"/>
      <c r="AD90" s="373"/>
      <c r="AE90" s="373"/>
      <c r="AF90" s="373"/>
      <c r="AG90" s="373"/>
      <c r="AH90" s="373"/>
      <c r="AI90" s="373"/>
      <c r="AJ90" s="373"/>
      <c r="AK90" s="373"/>
      <c r="AL90" s="373"/>
      <c r="AM90" s="373"/>
      <c r="AN90" s="373"/>
      <c r="AO90" s="373"/>
      <c r="AP90" s="373"/>
      <c r="AQ90" s="373"/>
      <c r="AR90" s="373"/>
      <c r="AS90" s="373"/>
      <c r="AT90" s="373"/>
      <c r="AU90" s="373"/>
      <c r="AV90" s="373"/>
      <c r="AW90" s="373"/>
      <c r="AX90" s="373"/>
      <c r="AY90" s="373"/>
      <c r="AZ90" s="373"/>
    </row>
    <row r="91" spans="1:52" s="349" customFormat="1" ht="38.1" customHeight="1">
      <c r="A91" s="373"/>
      <c r="B91" s="425" t="s">
        <v>254</v>
      </c>
      <c r="C91" s="410"/>
      <c r="D91" s="360" t="e" vm="1">
        <f>+DCF!AA4</f>
        <v>#VALUE!</v>
      </c>
      <c r="E91" s="361" t="e" vm="2">
        <v>#VALUE!</v>
      </c>
      <c r="F91" s="362" t="e" vm="3">
        <v>#VALUE!</v>
      </c>
      <c r="G91" s="629" t="e" vm="4">
        <v>#VALUE!</v>
      </c>
      <c r="H91" s="637" t="s">
        <v>255</v>
      </c>
      <c r="I91" s="637" t="s">
        <v>255</v>
      </c>
      <c r="J91" s="637" t="s">
        <v>255</v>
      </c>
      <c r="K91" s="637" t="s">
        <v>255</v>
      </c>
      <c r="L91" s="637" t="s">
        <v>255</v>
      </c>
      <c r="M91" s="637" t="s">
        <v>255</v>
      </c>
      <c r="N91" s="637" t="s">
        <v>255</v>
      </c>
      <c r="O91" s="373"/>
      <c r="P91" s="373"/>
      <c r="Q91" s="373"/>
      <c r="R91" s="420"/>
      <c r="S91" s="373"/>
      <c r="T91" s="373"/>
      <c r="U91" s="373"/>
      <c r="V91" s="373"/>
      <c r="W91" s="373"/>
      <c r="X91" s="373"/>
      <c r="Y91" s="373"/>
      <c r="Z91" s="373"/>
      <c r="AA91" s="373"/>
      <c r="AB91" s="373"/>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3"/>
    </row>
    <row r="92" spans="1:52" s="349" customFormat="1" ht="3.75" customHeight="1">
      <c r="A92" s="373"/>
      <c r="B92" s="426"/>
      <c r="C92" s="414"/>
      <c r="D92" s="363"/>
      <c r="E92" s="364"/>
      <c r="F92" s="366"/>
      <c r="G92" s="630"/>
      <c r="H92" s="638"/>
      <c r="I92" s="638"/>
      <c r="J92" s="638"/>
      <c r="K92" s="638"/>
      <c r="L92" s="638"/>
      <c r="M92" s="638"/>
      <c r="N92" s="365"/>
      <c r="O92" s="373"/>
      <c r="P92" s="373"/>
      <c r="Q92" s="373"/>
      <c r="R92" s="420"/>
      <c r="S92" s="373"/>
      <c r="T92" s="373"/>
      <c r="U92" s="373"/>
      <c r="V92" s="373"/>
      <c r="W92" s="373"/>
      <c r="X92" s="373"/>
      <c r="Y92" s="373"/>
      <c r="Z92" s="373"/>
      <c r="AA92" s="373"/>
      <c r="AB92" s="373"/>
      <c r="AC92" s="373"/>
      <c r="AD92" s="373"/>
      <c r="AE92" s="373"/>
      <c r="AF92" s="373"/>
      <c r="AG92" s="373"/>
      <c r="AH92" s="373"/>
      <c r="AI92" s="373"/>
      <c r="AJ92" s="373"/>
      <c r="AK92" s="373"/>
      <c r="AL92" s="373"/>
      <c r="AM92" s="373"/>
      <c r="AN92" s="373"/>
      <c r="AO92" s="373"/>
      <c r="AP92" s="373"/>
      <c r="AQ92" s="373"/>
      <c r="AR92" s="373"/>
      <c r="AS92" s="373"/>
      <c r="AT92" s="373"/>
      <c r="AU92" s="373"/>
      <c r="AV92" s="373"/>
      <c r="AW92" s="373"/>
      <c r="AX92" s="373"/>
      <c r="AY92" s="373"/>
      <c r="AZ92" s="373"/>
    </row>
    <row r="93" spans="1:52" s="349" customFormat="1" ht="14.25" customHeight="1">
      <c r="A93" s="373"/>
      <c r="B93" s="427" t="str">
        <f>+Inputs!$B$6&amp;" ("&amp;Inputs!O$4&amp;")"</f>
        <v>Revenue (Sales) (2022)</v>
      </c>
      <c r="C93" s="428"/>
      <c r="D93" s="429">
        <f>+_xlfn.XLOOKUP("Revenue (Sales)",Inputs!$B:$B,Inputs!O:O)</f>
        <v>11131</v>
      </c>
      <c r="E93" s="430">
        <v>13102</v>
      </c>
      <c r="F93" s="431">
        <v>7173</v>
      </c>
      <c r="G93" s="631">
        <v>136</v>
      </c>
      <c r="H93" s="639"/>
      <c r="I93" s="639"/>
      <c r="J93" s="639"/>
      <c r="K93" s="639"/>
      <c r="L93" s="639"/>
      <c r="M93" s="639"/>
      <c r="N93" s="432"/>
      <c r="O93" s="373"/>
      <c r="P93" s="373"/>
      <c r="Q93" s="373"/>
      <c r="R93" s="420"/>
      <c r="S93" s="373"/>
      <c r="T93" s="373"/>
      <c r="U93" s="373"/>
      <c r="V93" s="373"/>
      <c r="W93" s="373"/>
      <c r="X93" s="373"/>
      <c r="Y93" s="373"/>
      <c r="Z93" s="373"/>
      <c r="AA93" s="373"/>
      <c r="AB93" s="373"/>
      <c r="AC93" s="373"/>
      <c r="AD93" s="373"/>
      <c r="AE93" s="373"/>
      <c r="AF93" s="373"/>
      <c r="AG93" s="373"/>
      <c r="AH93" s="373"/>
      <c r="AI93" s="373"/>
      <c r="AJ93" s="373"/>
      <c r="AK93" s="373"/>
      <c r="AL93" s="373"/>
      <c r="AM93" s="373"/>
      <c r="AN93" s="373"/>
      <c r="AO93" s="373"/>
      <c r="AP93" s="373"/>
      <c r="AQ93" s="373"/>
      <c r="AR93" s="373"/>
      <c r="AS93" s="373"/>
      <c r="AT93" s="373"/>
      <c r="AU93" s="373"/>
      <c r="AV93" s="373"/>
      <c r="AW93" s="373"/>
      <c r="AX93" s="373"/>
      <c r="AY93" s="373"/>
      <c r="AZ93" s="373"/>
    </row>
    <row r="94" spans="1:52" s="349" customFormat="1" ht="14.25" customHeight="1">
      <c r="A94" s="373"/>
      <c r="B94" s="433" t="str">
        <f>+Inputs!$B$6&amp;" ("&amp;Inputs!P$4&amp;")"</f>
        <v>Revenue (Sales) (2023)</v>
      </c>
      <c r="C94" s="373"/>
      <c r="D94" s="434">
        <f>+_xlfn.XLOOKUP("Revenue (Sales)",Inputs!$B:$B,Inputs!P:P)</f>
        <v>22042</v>
      </c>
      <c r="E94" s="435">
        <v>12008</v>
      </c>
      <c r="F94" s="436">
        <v>8758</v>
      </c>
      <c r="G94" s="632">
        <v>358</v>
      </c>
      <c r="H94" s="640"/>
      <c r="I94" s="640"/>
      <c r="J94" s="640"/>
      <c r="K94" s="640"/>
      <c r="L94" s="640"/>
      <c r="M94" s="640"/>
      <c r="N94" s="437"/>
      <c r="O94" s="373"/>
      <c r="P94" s="373"/>
      <c r="Q94" s="373"/>
      <c r="R94" s="420"/>
      <c r="S94" s="373"/>
      <c r="T94" s="373"/>
      <c r="U94" s="373"/>
      <c r="V94" s="373"/>
      <c r="W94" s="373"/>
      <c r="X94" s="373"/>
      <c r="Y94" s="373"/>
      <c r="Z94" s="373"/>
      <c r="AA94" s="373"/>
      <c r="AB94" s="373"/>
      <c r="AC94" s="373"/>
      <c r="AD94" s="373"/>
      <c r="AE94" s="373"/>
      <c r="AF94" s="373"/>
      <c r="AG94" s="373"/>
      <c r="AH94" s="373"/>
      <c r="AI94" s="373"/>
      <c r="AJ94" s="373"/>
      <c r="AK94" s="373"/>
      <c r="AL94" s="373"/>
      <c r="AM94" s="373"/>
      <c r="AN94" s="373"/>
      <c r="AO94" s="373"/>
      <c r="AP94" s="373"/>
      <c r="AQ94" s="373"/>
      <c r="AR94" s="373"/>
      <c r="AS94" s="373"/>
      <c r="AT94" s="373"/>
      <c r="AU94" s="373"/>
      <c r="AV94" s="373"/>
      <c r="AW94" s="373"/>
      <c r="AX94" s="373"/>
      <c r="AY94" s="373"/>
      <c r="AZ94" s="373"/>
    </row>
    <row r="95" spans="1:52" s="349" customFormat="1" ht="14.25" customHeight="1">
      <c r="A95" s="373"/>
      <c r="B95" s="433" t="s">
        <v>256</v>
      </c>
      <c r="C95" s="373"/>
      <c r="D95" s="434">
        <f>+_xlfn.XLOOKUP("EBITDA",Inputs!$B:$B,Inputs!P:P)</f>
        <v>-147379</v>
      </c>
      <c r="E95" s="435">
        <v>-61902</v>
      </c>
      <c r="F95" s="436">
        <v>-75423</v>
      </c>
      <c r="G95" s="632">
        <v>-22113</v>
      </c>
      <c r="H95" s="640"/>
      <c r="I95" s="640"/>
      <c r="J95" s="640"/>
      <c r="K95" s="640"/>
      <c r="L95" s="640"/>
      <c r="M95" s="640"/>
      <c r="N95" s="437"/>
      <c r="O95" s="373"/>
      <c r="P95" s="373"/>
      <c r="Q95" s="373"/>
      <c r="R95" s="420"/>
      <c r="S95" s="373"/>
      <c r="T95" s="373"/>
      <c r="U95" s="373"/>
      <c r="V95" s="373"/>
      <c r="W95" s="373"/>
      <c r="X95" s="373"/>
      <c r="Y95" s="373"/>
      <c r="Z95" s="373"/>
      <c r="AA95" s="373"/>
      <c r="AB95" s="373"/>
      <c r="AC95" s="373"/>
      <c r="AD95" s="373"/>
      <c r="AE95" s="373"/>
      <c r="AF95" s="373"/>
      <c r="AG95" s="373"/>
      <c r="AH95" s="373"/>
      <c r="AI95" s="373"/>
      <c r="AJ95" s="373"/>
      <c r="AK95" s="373"/>
      <c r="AL95" s="373"/>
      <c r="AM95" s="373"/>
      <c r="AN95" s="373"/>
      <c r="AO95" s="373"/>
      <c r="AP95" s="373"/>
      <c r="AQ95" s="373"/>
      <c r="AR95" s="373"/>
      <c r="AS95" s="373"/>
      <c r="AT95" s="373"/>
      <c r="AU95" s="373"/>
      <c r="AV95" s="373"/>
      <c r="AW95" s="373"/>
      <c r="AX95" s="373"/>
      <c r="AY95" s="373"/>
      <c r="AZ95" s="373"/>
    </row>
    <row r="96" spans="1:52" s="349" customFormat="1" ht="14.25" customHeight="1">
      <c r="A96" s="373"/>
      <c r="B96" s="427" t="s">
        <v>257</v>
      </c>
      <c r="C96" s="428"/>
      <c r="D96" s="429">
        <f>+_xlfn.XLOOKUP("Net Income",Inputs!$B:$B,Inputs!P:P)</f>
        <v>-157723.04800000001</v>
      </c>
      <c r="E96" s="430">
        <v>-75107</v>
      </c>
      <c r="F96" s="431">
        <v>-82715</v>
      </c>
      <c r="G96" s="631">
        <v>-27022</v>
      </c>
      <c r="H96" s="639"/>
      <c r="I96" s="639"/>
      <c r="J96" s="639"/>
      <c r="K96" s="639"/>
      <c r="L96" s="639"/>
      <c r="M96" s="639"/>
      <c r="N96" s="432"/>
      <c r="O96" s="373"/>
      <c r="P96" s="373"/>
      <c r="Q96" s="373"/>
      <c r="R96" s="420"/>
      <c r="S96" s="373"/>
      <c r="T96" s="373"/>
      <c r="U96" s="373"/>
      <c r="V96" s="373"/>
      <c r="W96" s="373"/>
      <c r="X96" s="373"/>
      <c r="Y96" s="373"/>
      <c r="Z96" s="373"/>
      <c r="AA96" s="373"/>
      <c r="AB96" s="373"/>
      <c r="AC96" s="373"/>
      <c r="AD96" s="373"/>
      <c r="AE96" s="373"/>
      <c r="AF96" s="373"/>
      <c r="AG96" s="373"/>
      <c r="AH96" s="373"/>
      <c r="AI96" s="373"/>
      <c r="AJ96" s="373"/>
      <c r="AK96" s="373"/>
      <c r="AL96" s="373"/>
      <c r="AM96" s="373"/>
      <c r="AN96" s="373"/>
      <c r="AO96" s="373"/>
      <c r="AP96" s="373"/>
      <c r="AQ96" s="373"/>
      <c r="AR96" s="373"/>
      <c r="AS96" s="373"/>
      <c r="AT96" s="373"/>
      <c r="AU96" s="373"/>
      <c r="AV96" s="373"/>
      <c r="AW96" s="373"/>
      <c r="AX96" s="373"/>
      <c r="AY96" s="373"/>
      <c r="AZ96" s="373"/>
    </row>
    <row r="97" spans="1:52" s="349" customFormat="1" ht="14.25" customHeight="1">
      <c r="A97" s="373"/>
      <c r="B97" s="433" t="str">
        <f>+Inputs!$B$6&amp;" ("&amp;Inputs!Q$4&amp;")"</f>
        <v>Revenue (Sales) (2024)</v>
      </c>
      <c r="C97" s="373"/>
      <c r="D97" s="434">
        <f>+_xlfn.XLOOKUP("Revenue (Sales)",Inputs!$B:$B,Inputs!Q:Q)</f>
        <v>43073</v>
      </c>
      <c r="E97" s="438">
        <v>10790</v>
      </c>
      <c r="F97" s="436">
        <v>8827</v>
      </c>
      <c r="G97" s="633">
        <v>373</v>
      </c>
      <c r="H97" s="626"/>
      <c r="I97" s="640"/>
      <c r="J97" s="640"/>
      <c r="K97" s="640"/>
      <c r="L97" s="640"/>
      <c r="M97" s="640"/>
      <c r="N97" s="437"/>
      <c r="O97" s="373"/>
      <c r="P97" s="373"/>
      <c r="Q97" s="373"/>
      <c r="R97" s="420"/>
      <c r="S97" s="373"/>
      <c r="T97" s="373"/>
      <c r="U97" s="373"/>
      <c r="V97" s="373"/>
      <c r="W97" s="373"/>
      <c r="X97" s="373"/>
      <c r="Y97" s="373"/>
      <c r="Z97" s="373"/>
      <c r="AA97" s="373"/>
      <c r="AB97" s="373"/>
      <c r="AC97" s="373"/>
      <c r="AD97" s="373"/>
      <c r="AE97" s="373"/>
      <c r="AF97" s="373"/>
      <c r="AG97" s="373"/>
      <c r="AH97" s="373"/>
      <c r="AI97" s="373"/>
      <c r="AJ97" s="373"/>
      <c r="AK97" s="373"/>
      <c r="AL97" s="373"/>
      <c r="AM97" s="373"/>
      <c r="AN97" s="373"/>
      <c r="AO97" s="373"/>
      <c r="AP97" s="373"/>
      <c r="AQ97" s="373"/>
      <c r="AR97" s="373"/>
      <c r="AS97" s="373"/>
      <c r="AT97" s="373"/>
      <c r="AU97" s="373"/>
      <c r="AV97" s="373"/>
      <c r="AW97" s="373"/>
      <c r="AX97" s="373"/>
      <c r="AY97" s="373"/>
      <c r="AZ97" s="373"/>
    </row>
    <row r="98" spans="1:52" s="349" customFormat="1" ht="14.25" customHeight="1">
      <c r="A98" s="373"/>
      <c r="B98" s="439" t="s">
        <v>258</v>
      </c>
      <c r="C98" s="373"/>
      <c r="D98" s="434">
        <f>+_xlfn.XLOOKUP($B98,Inputs!$B:$B,Inputs!Q:Q)</f>
        <v>20597</v>
      </c>
      <c r="E98" s="435">
        <v>5093</v>
      </c>
      <c r="F98" s="436">
        <v>3264</v>
      </c>
      <c r="G98" s="632">
        <v>261</v>
      </c>
      <c r="H98" s="640"/>
      <c r="I98" s="640"/>
      <c r="J98" s="640"/>
      <c r="K98" s="640"/>
      <c r="L98" s="640"/>
      <c r="M98" s="640"/>
      <c r="N98" s="437"/>
      <c r="O98" s="373"/>
      <c r="P98" s="373"/>
      <c r="Q98" s="373"/>
      <c r="R98" s="420"/>
      <c r="S98" s="373"/>
      <c r="T98" s="373"/>
      <c r="U98" s="373"/>
      <c r="V98" s="373"/>
      <c r="W98" s="373"/>
      <c r="X98" s="373"/>
      <c r="Y98" s="373"/>
      <c r="Z98" s="373"/>
      <c r="AA98" s="373"/>
      <c r="AB98" s="373"/>
      <c r="AC98" s="373"/>
      <c r="AD98" s="373"/>
      <c r="AE98" s="373"/>
      <c r="AF98" s="373"/>
      <c r="AG98" s="373"/>
      <c r="AH98" s="373"/>
      <c r="AI98" s="373"/>
      <c r="AJ98" s="373"/>
      <c r="AK98" s="373"/>
      <c r="AL98" s="373"/>
      <c r="AM98" s="373"/>
      <c r="AN98" s="373"/>
      <c r="AO98" s="373"/>
      <c r="AP98" s="373"/>
      <c r="AQ98" s="373"/>
      <c r="AR98" s="373"/>
      <c r="AS98" s="373"/>
      <c r="AT98" s="373"/>
      <c r="AU98" s="373"/>
      <c r="AV98" s="373"/>
      <c r="AW98" s="373"/>
      <c r="AX98" s="373"/>
      <c r="AY98" s="373"/>
      <c r="AZ98" s="373"/>
    </row>
    <row r="99" spans="1:52" s="349" customFormat="1" ht="14.25" customHeight="1">
      <c r="A99" s="373"/>
      <c r="B99" s="440" t="s">
        <v>259</v>
      </c>
      <c r="C99" s="373"/>
      <c r="D99" s="434">
        <f>+_xlfn.XLOOKUP($B99,Inputs!$B:$B,Inputs!Q:Q)</f>
        <v>22476</v>
      </c>
      <c r="E99" s="441">
        <f>+E97-E98</f>
        <v>5697</v>
      </c>
      <c r="F99" s="442">
        <f>+F97-F98</f>
        <v>5563</v>
      </c>
      <c r="G99" s="634">
        <f>G97-G98</f>
        <v>112</v>
      </c>
      <c r="H99" s="643">
        <f t="shared" ref="H99:N99" si="41">+H97-H98</f>
        <v>0</v>
      </c>
      <c r="I99" s="643">
        <f t="shared" si="41"/>
        <v>0</v>
      </c>
      <c r="J99" s="643">
        <f t="shared" si="41"/>
        <v>0</v>
      </c>
      <c r="K99" s="643">
        <f t="shared" si="41"/>
        <v>0</v>
      </c>
      <c r="L99" s="643">
        <f t="shared" si="41"/>
        <v>0</v>
      </c>
      <c r="M99" s="643">
        <f t="shared" si="41"/>
        <v>0</v>
      </c>
      <c r="N99" s="443">
        <f t="shared" si="41"/>
        <v>0</v>
      </c>
      <c r="O99" s="394"/>
      <c r="P99" s="394"/>
      <c r="Q99" s="394"/>
      <c r="R99" s="97"/>
      <c r="S99" s="373"/>
      <c r="T99" s="373"/>
      <c r="U99" s="373"/>
      <c r="V99" s="373"/>
      <c r="W99" s="373"/>
      <c r="X99" s="373"/>
      <c r="Y99" s="373"/>
      <c r="Z99" s="373"/>
      <c r="AA99" s="373"/>
      <c r="AB99" s="373"/>
      <c r="AC99" s="373"/>
      <c r="AD99" s="373"/>
      <c r="AE99" s="373"/>
      <c r="AF99" s="373"/>
      <c r="AG99" s="373"/>
      <c r="AH99" s="373"/>
      <c r="AI99" s="373"/>
      <c r="AJ99" s="373"/>
      <c r="AK99" s="373"/>
      <c r="AL99" s="373"/>
      <c r="AM99" s="373"/>
      <c r="AN99" s="373"/>
      <c r="AO99" s="373"/>
      <c r="AP99" s="373"/>
      <c r="AQ99" s="373"/>
      <c r="AR99" s="373"/>
      <c r="AS99" s="373"/>
      <c r="AT99" s="373"/>
      <c r="AU99" s="373"/>
      <c r="AV99" s="373"/>
      <c r="AW99" s="373"/>
      <c r="AX99" s="373"/>
      <c r="AY99" s="373"/>
      <c r="AZ99" s="373"/>
    </row>
    <row r="100" spans="1:52" s="349" customFormat="1" ht="14.25" customHeight="1">
      <c r="A100" s="373"/>
      <c r="B100" s="439" t="s">
        <v>206</v>
      </c>
      <c r="C100" s="373"/>
      <c r="D100" s="434">
        <f>+_xlfn.XLOOKUP($B100,Inputs!$B:$B,Inputs!Q:Q)</f>
        <v>-213801</v>
      </c>
      <c r="E100" s="438">
        <v>-68510</v>
      </c>
      <c r="F100" s="444">
        <v>-77223</v>
      </c>
      <c r="G100" s="633">
        <v>-25937</v>
      </c>
      <c r="H100" s="626"/>
      <c r="I100" s="626"/>
      <c r="J100" s="626"/>
      <c r="K100" s="626"/>
      <c r="L100" s="626"/>
      <c r="M100" s="626"/>
      <c r="N100" s="437"/>
      <c r="O100" s="373"/>
      <c r="P100" s="373"/>
      <c r="Q100" s="373"/>
      <c r="R100" s="373"/>
      <c r="S100" s="373"/>
      <c r="T100" s="373"/>
      <c r="U100" s="373"/>
      <c r="V100" s="373"/>
      <c r="W100" s="373"/>
      <c r="X100" s="373"/>
      <c r="Y100" s="373"/>
      <c r="Z100" s="373"/>
      <c r="AA100" s="373"/>
      <c r="AB100" s="373"/>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3"/>
      <c r="AX100" s="373"/>
      <c r="AY100" s="373"/>
      <c r="AZ100" s="373"/>
    </row>
    <row r="101" spans="1:52" s="349" customFormat="1" ht="14.25" customHeight="1">
      <c r="A101" s="373"/>
      <c r="B101" s="439" t="s">
        <v>260</v>
      </c>
      <c r="C101" s="373"/>
      <c r="D101" s="434">
        <f>+_xlfn.XLOOKUP($B101,Inputs!$B:$B,Inputs!Q:Q)</f>
        <v>-232455</v>
      </c>
      <c r="E101" s="438">
        <f>+E100-6906</f>
        <v>-75416</v>
      </c>
      <c r="F101" s="444">
        <f>+F100-1932</f>
        <v>-79155</v>
      </c>
      <c r="G101" s="633">
        <f>+G100-3798</f>
        <v>-29735</v>
      </c>
      <c r="H101" s="626"/>
      <c r="I101" s="626"/>
      <c r="J101" s="626"/>
      <c r="K101" s="626"/>
      <c r="L101" s="626"/>
      <c r="M101" s="626"/>
      <c r="N101" s="437"/>
      <c r="O101" s="373"/>
      <c r="P101" s="373"/>
      <c r="Q101" s="373"/>
      <c r="R101" s="373"/>
      <c r="S101" s="373"/>
      <c r="T101" s="373"/>
      <c r="U101" s="373"/>
      <c r="V101" s="373"/>
      <c r="W101" s="373"/>
      <c r="X101" s="373"/>
      <c r="Y101" s="373"/>
      <c r="Z101" s="373"/>
      <c r="AA101" s="373"/>
      <c r="AB101" s="373"/>
      <c r="AC101" s="373"/>
      <c r="AD101" s="373"/>
      <c r="AE101" s="373"/>
      <c r="AF101" s="373"/>
      <c r="AG101" s="373"/>
      <c r="AH101" s="373"/>
      <c r="AI101" s="373"/>
      <c r="AJ101" s="373"/>
      <c r="AK101" s="373"/>
      <c r="AL101" s="373"/>
      <c r="AM101" s="373"/>
      <c r="AN101" s="373"/>
      <c r="AO101" s="373"/>
      <c r="AP101" s="373"/>
      <c r="AQ101" s="373"/>
      <c r="AR101" s="373"/>
      <c r="AS101" s="373"/>
      <c r="AT101" s="373"/>
      <c r="AU101" s="373"/>
      <c r="AV101" s="373"/>
      <c r="AW101" s="373"/>
      <c r="AX101" s="373"/>
      <c r="AY101" s="373"/>
      <c r="AZ101" s="373"/>
    </row>
    <row r="102" spans="1:52" s="349" customFormat="1" ht="14.25" customHeight="1">
      <c r="A102" s="373"/>
      <c r="B102" s="439" t="s">
        <v>261</v>
      </c>
      <c r="C102" s="373"/>
      <c r="D102" s="434">
        <f>+_xlfn.XLOOKUP($B102,Inputs!$B:$B,Inputs!Q:Q)</f>
        <v>-18249</v>
      </c>
      <c r="E102" s="438">
        <v>1858</v>
      </c>
      <c r="F102" s="444">
        <v>-3897</v>
      </c>
      <c r="G102" s="633">
        <v>-2073</v>
      </c>
      <c r="H102" s="626"/>
      <c r="I102" s="626"/>
      <c r="J102" s="626"/>
      <c r="K102" s="626"/>
      <c r="L102" s="644"/>
      <c r="M102" s="644"/>
      <c r="N102" s="445"/>
      <c r="O102" s="373"/>
      <c r="P102" s="373"/>
      <c r="Q102" s="373"/>
      <c r="R102" s="373"/>
      <c r="S102" s="373"/>
      <c r="T102" s="373"/>
      <c r="U102" s="373"/>
      <c r="V102" s="373"/>
      <c r="W102" s="373"/>
      <c r="X102" s="373"/>
      <c r="Y102" s="373"/>
      <c r="Z102" s="373"/>
      <c r="AA102" s="373"/>
      <c r="AB102" s="373"/>
      <c r="AC102" s="373"/>
      <c r="AD102" s="373"/>
      <c r="AE102" s="373"/>
      <c r="AF102" s="373"/>
      <c r="AG102" s="373"/>
      <c r="AH102" s="373"/>
      <c r="AI102" s="373"/>
      <c r="AJ102" s="373"/>
      <c r="AK102" s="373"/>
      <c r="AL102" s="373"/>
      <c r="AM102" s="373"/>
      <c r="AN102" s="373"/>
      <c r="AO102" s="373"/>
      <c r="AP102" s="373"/>
      <c r="AQ102" s="373"/>
      <c r="AR102" s="373"/>
      <c r="AS102" s="373"/>
      <c r="AT102" s="373"/>
      <c r="AU102" s="373"/>
      <c r="AV102" s="373"/>
      <c r="AW102" s="373"/>
      <c r="AX102" s="373"/>
      <c r="AY102" s="373"/>
      <c r="AZ102" s="373"/>
    </row>
    <row r="103" spans="1:52" s="349" customFormat="1" ht="14.25" customHeight="1">
      <c r="A103" s="373"/>
      <c r="B103" s="439" t="s">
        <v>262</v>
      </c>
      <c r="C103" s="373"/>
      <c r="D103" s="434">
        <f>+_xlfn.XLOOKUP($B103,Inputs!$B:$B,Inputs!Q:Q)</f>
        <v>-331588</v>
      </c>
      <c r="E103" s="438">
        <f>E105</f>
        <v>-77274</v>
      </c>
      <c r="F103" s="444">
        <f>F105</f>
        <v>-75258</v>
      </c>
      <c r="G103" s="633">
        <f>G105</f>
        <v>-27662</v>
      </c>
      <c r="H103" s="626"/>
      <c r="I103" s="626"/>
      <c r="J103" s="626"/>
      <c r="K103" s="626"/>
      <c r="L103" s="626"/>
      <c r="M103" s="626"/>
      <c r="N103" s="437"/>
      <c r="O103" s="373"/>
      <c r="P103" s="373"/>
      <c r="Q103" s="373"/>
      <c r="R103" s="373"/>
      <c r="S103" s="373"/>
      <c r="T103" s="373"/>
      <c r="U103" s="373"/>
      <c r="V103" s="373"/>
      <c r="W103" s="373"/>
      <c r="X103" s="373"/>
      <c r="Y103" s="373"/>
      <c r="Z103" s="373"/>
      <c r="AA103" s="373"/>
      <c r="AB103" s="373"/>
      <c r="AC103" s="373"/>
      <c r="AD103" s="373"/>
      <c r="AE103" s="373"/>
      <c r="AF103" s="373"/>
      <c r="AG103" s="373"/>
      <c r="AH103" s="373"/>
      <c r="AI103" s="373"/>
      <c r="AJ103" s="373"/>
      <c r="AK103" s="373"/>
      <c r="AL103" s="373"/>
      <c r="AM103" s="373"/>
      <c r="AN103" s="373"/>
      <c r="AO103" s="373"/>
      <c r="AP103" s="373"/>
      <c r="AQ103" s="373"/>
      <c r="AR103" s="373"/>
      <c r="AS103" s="373"/>
      <c r="AT103" s="373"/>
      <c r="AU103" s="373"/>
      <c r="AV103" s="373"/>
      <c r="AW103" s="373"/>
      <c r="AX103" s="373"/>
      <c r="AY103" s="373"/>
      <c r="AZ103" s="373"/>
    </row>
    <row r="104" spans="1:52" s="349" customFormat="1" ht="14.25" customHeight="1">
      <c r="A104" s="373"/>
      <c r="B104" s="439" t="s">
        <v>263</v>
      </c>
      <c r="C104" s="373"/>
      <c r="D104" s="434">
        <f>+_xlfn.XLOOKUP($B104,Inputs!$B:$B,Inputs!Q:Q)</f>
        <v>5.8999999999999997E-2</v>
      </c>
      <c r="E104" s="438">
        <v>0</v>
      </c>
      <c r="F104" s="444">
        <v>0</v>
      </c>
      <c r="G104" s="633">
        <v>0</v>
      </c>
      <c r="H104" s="626"/>
      <c r="I104" s="626"/>
      <c r="J104" s="626"/>
      <c r="K104" s="626"/>
      <c r="L104" s="626"/>
      <c r="M104" s="626"/>
      <c r="N104" s="437"/>
      <c r="O104" s="373"/>
      <c r="P104" s="373"/>
      <c r="Q104" s="373"/>
      <c r="R104" s="373"/>
      <c r="S104" s="373"/>
      <c r="T104" s="373"/>
      <c r="U104" s="373"/>
      <c r="V104" s="373"/>
      <c r="W104" s="373"/>
      <c r="X104" s="373"/>
      <c r="Y104" s="373"/>
      <c r="Z104" s="373"/>
      <c r="AA104" s="373"/>
      <c r="AB104" s="373"/>
      <c r="AC104" s="373"/>
      <c r="AD104" s="373"/>
      <c r="AE104" s="373"/>
      <c r="AF104" s="373"/>
      <c r="AG104" s="373"/>
      <c r="AH104" s="373"/>
      <c r="AI104" s="373"/>
      <c r="AJ104" s="373"/>
      <c r="AK104" s="373"/>
      <c r="AL104" s="373"/>
      <c r="AM104" s="373"/>
      <c r="AN104" s="373"/>
      <c r="AO104" s="373"/>
      <c r="AP104" s="373"/>
      <c r="AQ104" s="373"/>
      <c r="AR104" s="373"/>
      <c r="AS104" s="373"/>
      <c r="AT104" s="373"/>
      <c r="AU104" s="373"/>
      <c r="AV104" s="373"/>
      <c r="AW104" s="373"/>
      <c r="AX104" s="373"/>
      <c r="AY104" s="373"/>
      <c r="AZ104" s="373"/>
    </row>
    <row r="105" spans="1:52" s="349" customFormat="1" ht="14.25" customHeight="1">
      <c r="A105" s="373"/>
      <c r="B105" s="439" t="s">
        <v>264</v>
      </c>
      <c r="C105" s="373"/>
      <c r="D105" s="434">
        <f>+_xlfn.XLOOKUP($B105,Inputs!$B:$B,Inputs!Q:Q)</f>
        <v>-331588.05900000001</v>
      </c>
      <c r="E105" s="438">
        <f>+E101-E102</f>
        <v>-77274</v>
      </c>
      <c r="F105" s="444">
        <f>+F101-F102</f>
        <v>-75258</v>
      </c>
      <c r="G105" s="633">
        <f>+G101-G102</f>
        <v>-27662</v>
      </c>
      <c r="H105" s="626"/>
      <c r="I105" s="626"/>
      <c r="J105" s="626"/>
      <c r="K105" s="626"/>
      <c r="L105" s="626"/>
      <c r="M105" s="626"/>
      <c r="N105" s="437"/>
      <c r="O105" s="373"/>
      <c r="P105" s="373"/>
      <c r="Q105" s="373"/>
      <c r="R105" s="373"/>
      <c r="S105" s="373"/>
      <c r="T105" s="373"/>
      <c r="U105" s="373"/>
      <c r="V105" s="373"/>
      <c r="W105" s="373"/>
      <c r="X105" s="373"/>
      <c r="Y105" s="373"/>
      <c r="Z105" s="373"/>
      <c r="AA105" s="373"/>
      <c r="AB105" s="373"/>
      <c r="AC105" s="373"/>
      <c r="AD105" s="373"/>
      <c r="AE105" s="373"/>
      <c r="AF105" s="373"/>
      <c r="AG105" s="373"/>
      <c r="AH105" s="373"/>
      <c r="AI105" s="373"/>
      <c r="AJ105" s="373"/>
      <c r="AK105" s="373"/>
      <c r="AL105" s="373"/>
      <c r="AM105" s="373"/>
      <c r="AN105" s="373"/>
      <c r="AO105" s="373"/>
      <c r="AP105" s="373"/>
      <c r="AQ105" s="373"/>
      <c r="AR105" s="373"/>
      <c r="AS105" s="373"/>
      <c r="AT105" s="373"/>
      <c r="AU105" s="373"/>
      <c r="AV105" s="373"/>
      <c r="AW105" s="373"/>
      <c r="AX105" s="373"/>
      <c r="AY105" s="373"/>
      <c r="AZ105" s="373"/>
    </row>
    <row r="106" spans="1:52" s="349" customFormat="1" ht="14.25" customHeight="1">
      <c r="A106" s="373"/>
      <c r="B106" s="439" t="s">
        <v>265</v>
      </c>
      <c r="C106" s="373"/>
      <c r="D106" s="434">
        <f>+_xlfn.XLOOKUP($B106,Inputs!$B:$B,Inputs!Q:Q)</f>
        <v>-1.56</v>
      </c>
      <c r="E106" s="438">
        <v>-1.0900000000000001</v>
      </c>
      <c r="F106" s="444">
        <v>-0.75</v>
      </c>
      <c r="G106" s="444">
        <v>-0.73</v>
      </c>
      <c r="H106" s="444"/>
      <c r="I106" s="444"/>
      <c r="J106" s="444"/>
      <c r="K106" s="641"/>
      <c r="L106" s="641"/>
      <c r="M106" s="641"/>
      <c r="N106" s="446"/>
      <c r="O106" s="373"/>
      <c r="P106" s="373"/>
      <c r="Q106" s="373"/>
      <c r="R106" s="373"/>
      <c r="S106" s="373"/>
      <c r="T106" s="373"/>
      <c r="U106" s="373"/>
      <c r="V106" s="373"/>
      <c r="W106" s="373"/>
      <c r="X106" s="373"/>
      <c r="Y106" s="373"/>
      <c r="Z106" s="373"/>
      <c r="AA106" s="373"/>
      <c r="AB106" s="373"/>
      <c r="AC106" s="373"/>
      <c r="AD106" s="373"/>
      <c r="AE106" s="373"/>
      <c r="AF106" s="373"/>
      <c r="AG106" s="373"/>
      <c r="AH106" s="373"/>
      <c r="AI106" s="373"/>
      <c r="AJ106" s="373"/>
      <c r="AK106" s="373"/>
      <c r="AL106" s="373"/>
      <c r="AM106" s="373"/>
      <c r="AN106" s="373"/>
      <c r="AO106" s="373"/>
      <c r="AP106" s="373"/>
      <c r="AQ106" s="373"/>
      <c r="AR106" s="373"/>
      <c r="AS106" s="373"/>
      <c r="AT106" s="373"/>
      <c r="AU106" s="373"/>
      <c r="AV106" s="373"/>
      <c r="AW106" s="373"/>
      <c r="AX106" s="373"/>
      <c r="AY106" s="373"/>
      <c r="AZ106" s="373"/>
    </row>
    <row r="107" spans="1:52" s="349" customFormat="1" ht="14.25" customHeight="1">
      <c r="A107" s="373"/>
      <c r="B107" s="439" t="s">
        <v>266</v>
      </c>
      <c r="C107" s="373"/>
      <c r="D107" s="434">
        <f>+_xlfn.XLOOKUP($B107,Inputs!$B:$B,Inputs!Q:Q)</f>
        <v>136827</v>
      </c>
      <c r="E107" s="438">
        <v>49750</v>
      </c>
      <c r="F107" s="444">
        <v>35300</v>
      </c>
      <c r="G107" s="633">
        <v>11318</v>
      </c>
      <c r="H107" s="626"/>
      <c r="I107" s="626"/>
      <c r="J107" s="626"/>
      <c r="K107" s="626"/>
      <c r="L107" s="626"/>
      <c r="M107" s="626"/>
      <c r="N107" s="437"/>
      <c r="O107" s="373"/>
      <c r="P107" s="373"/>
      <c r="Q107" s="373"/>
      <c r="R107" s="373"/>
      <c r="S107" s="373"/>
      <c r="T107" s="373"/>
      <c r="U107" s="373"/>
      <c r="V107" s="373"/>
      <c r="W107" s="373"/>
      <c r="X107" s="373"/>
      <c r="Y107" s="373"/>
      <c r="Z107" s="373"/>
      <c r="AA107" s="373"/>
      <c r="AB107" s="373"/>
      <c r="AC107" s="373"/>
      <c r="AD107" s="373"/>
      <c r="AE107" s="373"/>
      <c r="AF107" s="373"/>
      <c r="AG107" s="373"/>
      <c r="AH107" s="373"/>
      <c r="AI107" s="373"/>
      <c r="AJ107" s="373"/>
      <c r="AK107" s="373"/>
      <c r="AL107" s="373"/>
      <c r="AM107" s="373"/>
      <c r="AN107" s="373"/>
      <c r="AO107" s="373"/>
      <c r="AP107" s="373"/>
      <c r="AQ107" s="373"/>
      <c r="AR107" s="373"/>
      <c r="AS107" s="373"/>
      <c r="AT107" s="373"/>
      <c r="AU107" s="373"/>
      <c r="AV107" s="373"/>
      <c r="AW107" s="373"/>
      <c r="AX107" s="373"/>
      <c r="AY107" s="373"/>
      <c r="AZ107" s="373"/>
    </row>
    <row r="108" spans="1:52" s="349" customFormat="1" ht="3.75" customHeight="1">
      <c r="A108" s="373"/>
      <c r="B108" s="439"/>
      <c r="C108" s="373"/>
      <c r="D108" s="447"/>
      <c r="E108" s="448"/>
      <c r="F108" s="449"/>
      <c r="G108" s="635"/>
      <c r="H108" s="642"/>
      <c r="I108" s="642"/>
      <c r="J108" s="642"/>
      <c r="K108" s="642"/>
      <c r="L108" s="642"/>
      <c r="M108" s="642"/>
      <c r="N108" s="417"/>
      <c r="O108" s="373"/>
      <c r="P108" s="373"/>
      <c r="Q108" s="373"/>
      <c r="R108" s="373"/>
      <c r="S108" s="373"/>
      <c r="T108" s="373"/>
      <c r="U108" s="373"/>
      <c r="V108" s="373"/>
      <c r="W108" s="373"/>
      <c r="X108" s="373"/>
      <c r="Y108" s="373"/>
      <c r="Z108" s="373"/>
      <c r="AA108" s="373"/>
      <c r="AB108" s="373"/>
      <c r="AC108" s="373"/>
      <c r="AD108" s="373"/>
      <c r="AE108" s="373"/>
      <c r="AF108" s="373"/>
      <c r="AG108" s="373"/>
      <c r="AH108" s="373"/>
      <c r="AI108" s="373"/>
      <c r="AJ108" s="373"/>
      <c r="AK108" s="373"/>
      <c r="AL108" s="373"/>
      <c r="AM108" s="373"/>
      <c r="AN108" s="373"/>
      <c r="AO108" s="373"/>
      <c r="AP108" s="373"/>
      <c r="AQ108" s="373"/>
      <c r="AR108" s="373"/>
      <c r="AS108" s="373"/>
      <c r="AT108" s="373"/>
      <c r="AU108" s="373"/>
      <c r="AV108" s="373"/>
      <c r="AW108" s="373"/>
      <c r="AX108" s="373"/>
      <c r="AY108" s="373"/>
      <c r="AZ108" s="373"/>
    </row>
    <row r="109" spans="1:52" s="349" customFormat="1" ht="14.25" customHeight="1">
      <c r="A109" s="373"/>
      <c r="B109" s="425" t="s">
        <v>267</v>
      </c>
      <c r="C109" s="410"/>
      <c r="D109" s="450"/>
      <c r="E109" s="451"/>
      <c r="F109" s="452"/>
      <c r="G109" s="636"/>
      <c r="H109" s="627"/>
      <c r="I109" s="627"/>
      <c r="J109" s="627"/>
      <c r="K109" s="627"/>
      <c r="L109" s="627"/>
      <c r="M109" s="627"/>
      <c r="N109" s="453"/>
      <c r="O109" s="373"/>
      <c r="P109" s="373"/>
      <c r="Q109" s="373"/>
      <c r="R109" s="373"/>
      <c r="S109" s="373"/>
      <c r="T109" s="373"/>
      <c r="U109" s="373"/>
      <c r="V109" s="373"/>
      <c r="W109" s="373"/>
      <c r="X109" s="373"/>
      <c r="Y109" s="373"/>
      <c r="Z109" s="373"/>
      <c r="AA109" s="373"/>
      <c r="AB109" s="373"/>
      <c r="AC109" s="373"/>
      <c r="AD109" s="373"/>
      <c r="AE109" s="373"/>
      <c r="AF109" s="373"/>
      <c r="AG109" s="373"/>
      <c r="AH109" s="373"/>
      <c r="AI109" s="373"/>
      <c r="AJ109" s="373"/>
      <c r="AK109" s="373"/>
      <c r="AL109" s="373"/>
      <c r="AM109" s="373"/>
      <c r="AN109" s="373"/>
      <c r="AO109" s="373"/>
      <c r="AP109" s="373"/>
      <c r="AQ109" s="373"/>
      <c r="AR109" s="373"/>
      <c r="AS109" s="373"/>
      <c r="AT109" s="373"/>
      <c r="AU109" s="373"/>
      <c r="AV109" s="373"/>
      <c r="AW109" s="373"/>
      <c r="AX109" s="373"/>
      <c r="AY109" s="373"/>
      <c r="AZ109" s="373"/>
    </row>
    <row r="110" spans="1:52" s="349" customFormat="1" ht="3.75" customHeight="1">
      <c r="A110" s="373"/>
      <c r="B110" s="426"/>
      <c r="C110" s="414"/>
      <c r="D110" s="454"/>
      <c r="E110" s="455"/>
      <c r="F110" s="456"/>
      <c r="G110" s="625"/>
      <c r="H110" s="628"/>
      <c r="I110" s="628"/>
      <c r="J110" s="628"/>
      <c r="K110" s="628"/>
      <c r="L110" s="628"/>
      <c r="M110" s="628"/>
      <c r="N110" s="419"/>
      <c r="O110" s="373"/>
      <c r="P110" s="373"/>
      <c r="Q110" s="373"/>
      <c r="R110" s="373"/>
      <c r="S110" s="373"/>
      <c r="T110" s="373"/>
      <c r="U110" s="373"/>
      <c r="V110" s="373"/>
      <c r="W110" s="373"/>
      <c r="X110" s="373"/>
      <c r="Y110" s="373"/>
      <c r="Z110" s="373"/>
      <c r="AA110" s="373"/>
      <c r="AB110" s="373"/>
      <c r="AC110" s="373"/>
      <c r="AD110" s="373"/>
      <c r="AE110" s="373"/>
      <c r="AF110" s="373"/>
      <c r="AG110" s="373"/>
      <c r="AH110" s="373"/>
      <c r="AI110" s="373"/>
      <c r="AJ110" s="373"/>
      <c r="AK110" s="373"/>
      <c r="AL110" s="373"/>
      <c r="AM110" s="373"/>
      <c r="AN110" s="373"/>
      <c r="AO110" s="373"/>
      <c r="AP110" s="373"/>
      <c r="AQ110" s="373"/>
      <c r="AR110" s="373"/>
      <c r="AS110" s="373"/>
      <c r="AT110" s="373"/>
      <c r="AU110" s="373"/>
      <c r="AV110" s="373"/>
      <c r="AW110" s="373"/>
      <c r="AX110" s="373"/>
      <c r="AY110" s="373"/>
      <c r="AZ110" s="373"/>
    </row>
    <row r="111" spans="1:52" s="349" customFormat="1" ht="14.25" customHeight="1">
      <c r="A111" s="373"/>
      <c r="B111" s="439" t="s">
        <v>268</v>
      </c>
      <c r="C111" s="373"/>
      <c r="D111" s="434">
        <f>+_xlfn.XLOOKUP($B111,Inputs!$B:$B,Inputs!Q:Q)</f>
        <v>54393</v>
      </c>
      <c r="E111" s="438">
        <v>67674</v>
      </c>
      <c r="F111" s="444">
        <v>177980</v>
      </c>
      <c r="G111" s="633">
        <v>78945</v>
      </c>
      <c r="H111" s="626"/>
      <c r="I111" s="626"/>
      <c r="J111" s="626"/>
      <c r="K111" s="626"/>
      <c r="L111" s="626"/>
      <c r="M111" s="626"/>
      <c r="N111" s="437"/>
      <c r="O111" s="373"/>
      <c r="P111" s="373"/>
      <c r="Q111" s="373"/>
      <c r="R111" s="373"/>
      <c r="S111" s="373"/>
      <c r="T111" s="373"/>
      <c r="U111" s="373"/>
      <c r="V111" s="373"/>
      <c r="W111" s="373"/>
      <c r="X111" s="373"/>
      <c r="Y111" s="373"/>
      <c r="Z111" s="373"/>
      <c r="AA111" s="373"/>
      <c r="AB111" s="373"/>
      <c r="AC111" s="373"/>
      <c r="AD111" s="373"/>
      <c r="AE111" s="373"/>
      <c r="AF111" s="373"/>
      <c r="AG111" s="373"/>
      <c r="AH111" s="373"/>
      <c r="AI111" s="373"/>
      <c r="AJ111" s="373"/>
      <c r="AK111" s="373"/>
      <c r="AL111" s="373"/>
      <c r="AM111" s="373"/>
      <c r="AN111" s="373"/>
      <c r="AO111" s="373"/>
      <c r="AP111" s="373"/>
      <c r="AQ111" s="373"/>
      <c r="AR111" s="373"/>
      <c r="AS111" s="373"/>
      <c r="AT111" s="373"/>
      <c r="AU111" s="373"/>
      <c r="AV111" s="373"/>
      <c r="AW111" s="373"/>
      <c r="AX111" s="373"/>
      <c r="AY111" s="373"/>
      <c r="AZ111" s="373"/>
    </row>
    <row r="112" spans="1:52" s="349" customFormat="1" ht="14.25" customHeight="1">
      <c r="A112" s="373"/>
      <c r="B112" s="439" t="s">
        <v>269</v>
      </c>
      <c r="C112" s="373"/>
      <c r="D112" s="434">
        <f>+_xlfn.XLOOKUP($B112,Inputs!$B:$B,Inputs!Q:Q)</f>
        <v>6516</v>
      </c>
      <c r="E112" s="438">
        <v>2427</v>
      </c>
      <c r="F112" s="444">
        <v>1420</v>
      </c>
      <c r="G112" s="633">
        <v>27</v>
      </c>
      <c r="H112" s="626"/>
      <c r="I112" s="626"/>
      <c r="J112" s="626"/>
      <c r="K112" s="626"/>
      <c r="L112" s="626"/>
      <c r="M112" s="626"/>
      <c r="N112" s="437"/>
      <c r="O112" s="373"/>
      <c r="P112" s="373"/>
      <c r="Q112" s="373"/>
      <c r="R112" s="373"/>
      <c r="S112" s="373"/>
      <c r="T112" s="373"/>
      <c r="U112" s="373"/>
      <c r="V112" s="373"/>
      <c r="W112" s="373"/>
      <c r="X112" s="373"/>
      <c r="Y112" s="373"/>
      <c r="Z112" s="373"/>
      <c r="AA112" s="373"/>
      <c r="AB112" s="373"/>
      <c r="AC112" s="373"/>
      <c r="AD112" s="373"/>
      <c r="AE112" s="373"/>
      <c r="AF112" s="373"/>
      <c r="AG112" s="373"/>
      <c r="AH112" s="373"/>
      <c r="AI112" s="373"/>
      <c r="AJ112" s="373"/>
      <c r="AK112" s="373"/>
      <c r="AL112" s="373"/>
      <c r="AM112" s="373"/>
      <c r="AN112" s="373"/>
      <c r="AO112" s="373"/>
      <c r="AP112" s="373"/>
      <c r="AQ112" s="373"/>
      <c r="AR112" s="373"/>
      <c r="AS112" s="373"/>
      <c r="AT112" s="373"/>
      <c r="AU112" s="373"/>
      <c r="AV112" s="373"/>
      <c r="AW112" s="373"/>
      <c r="AX112" s="373"/>
      <c r="AY112" s="373"/>
      <c r="AZ112" s="373"/>
    </row>
    <row r="113" spans="1:52" s="349" customFormat="1" ht="14.25" customHeight="1">
      <c r="A113" s="373"/>
      <c r="B113" s="439" t="s">
        <v>270</v>
      </c>
      <c r="C113" s="373"/>
      <c r="D113" s="434">
        <f>+_xlfn.XLOOKUP("Inventory",Inputs!$B:$B,Inputs!P:P)</f>
        <v>0</v>
      </c>
      <c r="E113" s="438">
        <v>0</v>
      </c>
      <c r="F113" s="444">
        <v>2078</v>
      </c>
      <c r="G113" s="633">
        <v>73</v>
      </c>
      <c r="H113" s="626"/>
      <c r="I113" s="626"/>
      <c r="J113" s="626"/>
      <c r="K113" s="626"/>
      <c r="L113" s="626"/>
      <c r="M113" s="626"/>
      <c r="N113" s="437"/>
      <c r="O113" s="373"/>
      <c r="P113" s="373"/>
      <c r="Q113" s="373"/>
      <c r="R113" s="373"/>
      <c r="S113" s="373"/>
      <c r="T113" s="373"/>
      <c r="U113" s="373"/>
      <c r="V113" s="373"/>
      <c r="W113" s="373"/>
      <c r="X113" s="373"/>
      <c r="Y113" s="373"/>
      <c r="Z113" s="373"/>
      <c r="AA113" s="373"/>
      <c r="AB113" s="373"/>
      <c r="AC113" s="373"/>
      <c r="AD113" s="373"/>
      <c r="AE113" s="373"/>
      <c r="AF113" s="373"/>
      <c r="AG113" s="373"/>
      <c r="AH113" s="373"/>
      <c r="AI113" s="373"/>
      <c r="AJ113" s="373"/>
      <c r="AK113" s="373"/>
      <c r="AL113" s="373"/>
      <c r="AM113" s="373"/>
      <c r="AN113" s="373"/>
      <c r="AO113" s="373"/>
      <c r="AP113" s="373"/>
      <c r="AQ113" s="373"/>
      <c r="AR113" s="373"/>
      <c r="AS113" s="373"/>
      <c r="AT113" s="373"/>
      <c r="AU113" s="373"/>
      <c r="AV113" s="373"/>
      <c r="AW113" s="373"/>
      <c r="AX113" s="373"/>
      <c r="AY113" s="373"/>
      <c r="AZ113" s="373"/>
    </row>
    <row r="114" spans="1:52" s="349" customFormat="1" ht="14.25" customHeight="1">
      <c r="A114" s="373"/>
      <c r="B114" s="439" t="s">
        <v>271</v>
      </c>
      <c r="C114" s="373"/>
      <c r="D114" s="434">
        <f>+_xlfn.XLOOKUP("Inventory",Inputs!$B:$B,Inputs!Q:Q)</f>
        <v>0</v>
      </c>
      <c r="E114" s="438">
        <v>0</v>
      </c>
      <c r="F114" s="444">
        <v>1686</v>
      </c>
      <c r="G114" s="633">
        <v>18</v>
      </c>
      <c r="H114" s="626"/>
      <c r="I114" s="626"/>
      <c r="J114" s="626"/>
      <c r="K114" s="626"/>
      <c r="L114" s="626"/>
      <c r="M114" s="626"/>
      <c r="N114" s="437"/>
      <c r="O114" s="373"/>
      <c r="P114" s="373"/>
      <c r="Q114" s="373"/>
      <c r="R114" s="373"/>
      <c r="S114" s="373"/>
      <c r="T114" s="373"/>
      <c r="U114" s="373"/>
      <c r="V114" s="373"/>
      <c r="W114" s="373"/>
      <c r="X114" s="373"/>
      <c r="Y114" s="373"/>
      <c r="Z114" s="373"/>
      <c r="AA114" s="373"/>
      <c r="AB114" s="373"/>
      <c r="AC114" s="373"/>
      <c r="AD114" s="373"/>
      <c r="AE114" s="373"/>
      <c r="AF114" s="373"/>
      <c r="AG114" s="373"/>
      <c r="AH114" s="373"/>
      <c r="AI114" s="373"/>
      <c r="AJ114" s="373"/>
      <c r="AK114" s="373"/>
      <c r="AL114" s="373"/>
      <c r="AM114" s="373"/>
      <c r="AN114" s="373"/>
      <c r="AO114" s="373"/>
      <c r="AP114" s="373"/>
      <c r="AQ114" s="373"/>
      <c r="AR114" s="373"/>
      <c r="AS114" s="373"/>
      <c r="AT114" s="373"/>
      <c r="AU114" s="373"/>
      <c r="AV114" s="373"/>
      <c r="AW114" s="373"/>
      <c r="AX114" s="373"/>
      <c r="AY114" s="373"/>
      <c r="AZ114" s="373"/>
    </row>
    <row r="115" spans="1:52" s="349" customFormat="1" ht="14.25" customHeight="1">
      <c r="A115" s="373"/>
      <c r="B115" s="439" t="s">
        <v>272</v>
      </c>
      <c r="C115" s="373"/>
      <c r="D115" s="434">
        <f>+_xlfn.XLOOKUP($B115,Inputs!$B:$B,Inputs!Q:Q)</f>
        <v>378802</v>
      </c>
      <c r="E115" s="438">
        <v>206758</v>
      </c>
      <c r="F115" s="444">
        <v>185040</v>
      </c>
      <c r="G115" s="633">
        <v>79151</v>
      </c>
      <c r="H115" s="626"/>
      <c r="I115" s="626"/>
      <c r="J115" s="626"/>
      <c r="K115" s="626"/>
      <c r="L115" s="626"/>
      <c r="M115" s="626"/>
      <c r="N115" s="437"/>
      <c r="O115" s="373"/>
      <c r="P115" s="373"/>
      <c r="Q115" s="373"/>
      <c r="R115" s="373"/>
      <c r="S115" s="373"/>
      <c r="T115" s="373"/>
      <c r="U115" s="373"/>
      <c r="V115" s="373"/>
      <c r="W115" s="373"/>
      <c r="X115" s="373"/>
      <c r="Y115" s="373"/>
      <c r="Z115" s="373"/>
      <c r="AA115" s="373"/>
      <c r="AB115" s="373"/>
      <c r="AC115" s="373"/>
      <c r="AD115" s="373"/>
      <c r="AE115" s="373"/>
      <c r="AF115" s="373"/>
      <c r="AG115" s="373"/>
      <c r="AH115" s="373"/>
      <c r="AI115" s="373"/>
      <c r="AJ115" s="373"/>
      <c r="AK115" s="373"/>
      <c r="AL115" s="373"/>
      <c r="AM115" s="373"/>
      <c r="AN115" s="373"/>
      <c r="AO115" s="373"/>
      <c r="AP115" s="373"/>
      <c r="AQ115" s="373"/>
      <c r="AR115" s="373"/>
      <c r="AS115" s="373"/>
      <c r="AT115" s="373"/>
      <c r="AU115" s="373"/>
      <c r="AV115" s="373"/>
      <c r="AW115" s="373"/>
      <c r="AX115" s="373"/>
      <c r="AY115" s="373"/>
      <c r="AZ115" s="373"/>
    </row>
    <row r="116" spans="1:52" s="349" customFormat="1" ht="14.25" customHeight="1">
      <c r="A116" s="373"/>
      <c r="B116" s="439" t="s">
        <v>273</v>
      </c>
      <c r="C116" s="373"/>
      <c r="D116" s="434">
        <f>+_xlfn.XLOOKUP($B116,Inputs!$B:$B,Inputs!Q:Q)</f>
        <v>62231</v>
      </c>
      <c r="E116" s="438">
        <v>52636</v>
      </c>
      <c r="F116" s="444">
        <v>11394</v>
      </c>
      <c r="G116" s="633">
        <v>9734</v>
      </c>
      <c r="H116" s="626"/>
      <c r="I116" s="626"/>
      <c r="J116" s="626"/>
      <c r="K116" s="626"/>
      <c r="L116" s="626"/>
      <c r="M116" s="626"/>
      <c r="N116" s="437"/>
      <c r="O116" s="373"/>
      <c r="P116" s="373"/>
      <c r="Q116" s="373"/>
      <c r="R116" s="373"/>
      <c r="S116" s="373"/>
      <c r="T116" s="373"/>
      <c r="U116" s="373"/>
      <c r="V116" s="373"/>
      <c r="W116" s="373"/>
      <c r="X116" s="373"/>
      <c r="Y116" s="373"/>
      <c r="Z116" s="373"/>
      <c r="AA116" s="373"/>
      <c r="AB116" s="373"/>
      <c r="AC116" s="373"/>
      <c r="AD116" s="373"/>
      <c r="AE116" s="373"/>
      <c r="AF116" s="373"/>
      <c r="AG116" s="373"/>
      <c r="AH116" s="373"/>
      <c r="AI116" s="373"/>
      <c r="AJ116" s="373"/>
      <c r="AK116" s="373"/>
      <c r="AL116" s="373"/>
      <c r="AM116" s="373"/>
      <c r="AN116" s="373"/>
      <c r="AO116" s="373"/>
      <c r="AP116" s="373"/>
      <c r="AQ116" s="373"/>
      <c r="AR116" s="373"/>
      <c r="AS116" s="373"/>
      <c r="AT116" s="373"/>
      <c r="AU116" s="373"/>
      <c r="AV116" s="373"/>
      <c r="AW116" s="373"/>
      <c r="AX116" s="373"/>
      <c r="AY116" s="373"/>
      <c r="AZ116" s="373"/>
    </row>
    <row r="117" spans="1:52" s="349" customFormat="1" ht="14.25" customHeight="1">
      <c r="A117" s="373"/>
      <c r="B117" s="439" t="s">
        <v>274</v>
      </c>
      <c r="C117" s="457"/>
      <c r="D117" s="458">
        <f>+_xlfn.XLOOKUP($B117,Inputs!$B:$B,Inputs!Q:Q)</f>
        <v>508388</v>
      </c>
      <c r="E117" s="438">
        <v>284787</v>
      </c>
      <c r="F117" s="438">
        <v>199853</v>
      </c>
      <c r="G117" s="633">
        <v>153559</v>
      </c>
      <c r="H117" s="626"/>
      <c r="I117" s="626"/>
      <c r="J117" s="626"/>
      <c r="K117" s="626"/>
      <c r="L117" s="626"/>
      <c r="M117" s="626"/>
      <c r="N117" s="437"/>
      <c r="O117" s="373"/>
      <c r="P117" s="373"/>
      <c r="Q117" s="373"/>
      <c r="R117" s="373"/>
      <c r="S117" s="373"/>
      <c r="T117" s="373"/>
      <c r="U117" s="373"/>
      <c r="V117" s="373"/>
      <c r="W117" s="373"/>
      <c r="X117" s="373"/>
      <c r="Y117" s="373"/>
      <c r="Z117" s="373"/>
      <c r="AA117" s="373"/>
      <c r="AB117" s="373"/>
      <c r="AC117" s="373"/>
      <c r="AD117" s="373"/>
      <c r="AE117" s="373"/>
      <c r="AF117" s="373"/>
      <c r="AG117" s="373"/>
      <c r="AH117" s="373"/>
      <c r="AI117" s="373"/>
      <c r="AJ117" s="373"/>
      <c r="AK117" s="373"/>
      <c r="AL117" s="373"/>
      <c r="AM117" s="373"/>
      <c r="AN117" s="373"/>
      <c r="AO117" s="373"/>
      <c r="AP117" s="373"/>
      <c r="AQ117" s="373"/>
      <c r="AR117" s="373"/>
      <c r="AS117" s="373"/>
      <c r="AT117" s="373"/>
      <c r="AU117" s="373"/>
      <c r="AV117" s="373"/>
      <c r="AW117" s="373"/>
      <c r="AX117" s="373"/>
      <c r="AY117" s="373"/>
      <c r="AZ117" s="373"/>
    </row>
    <row r="118" spans="1:52" s="349" customFormat="1" ht="14.25" customHeight="1">
      <c r="A118" s="373"/>
      <c r="B118" s="439" t="s">
        <v>275</v>
      </c>
      <c r="C118" s="373"/>
      <c r="D118" s="434">
        <f>+_xlfn.XLOOKUP($B118,Inputs!$B:$B,Inputs!Q:Q)</f>
        <v>5230</v>
      </c>
      <c r="E118" s="438">
        <v>1590</v>
      </c>
      <c r="F118" s="444">
        <v>815</v>
      </c>
      <c r="G118" s="633">
        <v>1372</v>
      </c>
      <c r="H118" s="626"/>
      <c r="I118" s="626"/>
      <c r="J118" s="626"/>
      <c r="K118" s="626"/>
      <c r="L118" s="626"/>
      <c r="M118" s="626"/>
      <c r="N118" s="437"/>
      <c r="O118" s="373"/>
      <c r="P118" s="373"/>
      <c r="Q118" s="373"/>
      <c r="R118" s="373"/>
      <c r="S118" s="373"/>
      <c r="T118" s="373"/>
      <c r="U118" s="373"/>
      <c r="V118" s="373"/>
      <c r="W118" s="373"/>
      <c r="X118" s="373"/>
      <c r="Y118" s="373"/>
      <c r="Z118" s="373"/>
      <c r="AA118" s="373"/>
      <c r="AB118" s="373"/>
      <c r="AC118" s="373"/>
      <c r="AD118" s="373"/>
      <c r="AE118" s="373"/>
      <c r="AF118" s="373"/>
      <c r="AG118" s="373"/>
      <c r="AH118" s="373"/>
      <c r="AI118" s="373"/>
      <c r="AJ118" s="373"/>
      <c r="AK118" s="373"/>
      <c r="AL118" s="373"/>
      <c r="AM118" s="373"/>
      <c r="AN118" s="373"/>
      <c r="AO118" s="373"/>
      <c r="AP118" s="373"/>
      <c r="AQ118" s="373"/>
      <c r="AR118" s="373"/>
      <c r="AS118" s="373"/>
      <c r="AT118" s="373"/>
      <c r="AU118" s="373"/>
      <c r="AV118" s="373"/>
      <c r="AW118" s="373"/>
      <c r="AX118" s="373"/>
      <c r="AY118" s="373"/>
      <c r="AZ118" s="373"/>
    </row>
    <row r="119" spans="1:52" s="349" customFormat="1" ht="14.25" customHeight="1">
      <c r="A119" s="373"/>
      <c r="B119" s="439" t="s">
        <v>276</v>
      </c>
      <c r="C119" s="373"/>
      <c r="D119" s="434">
        <f>+_xlfn.XLOOKUP($B119,Inputs!$B:$B,Inputs!Q:Q)</f>
        <v>36085</v>
      </c>
      <c r="E119" s="438">
        <v>11867</v>
      </c>
      <c r="F119" s="444">
        <v>30145</v>
      </c>
      <c r="G119" s="633">
        <v>4559</v>
      </c>
      <c r="H119" s="626"/>
      <c r="I119" s="626"/>
      <c r="J119" s="626"/>
      <c r="K119" s="626"/>
      <c r="L119" s="626"/>
      <c r="M119" s="626"/>
      <c r="N119" s="437"/>
      <c r="O119" s="373"/>
      <c r="P119" s="373"/>
      <c r="Q119" s="373"/>
      <c r="R119" s="373"/>
      <c r="S119" s="373"/>
      <c r="T119" s="373"/>
      <c r="U119" s="373"/>
      <c r="V119" s="373"/>
      <c r="W119" s="373"/>
      <c r="X119" s="373"/>
      <c r="Y119" s="373"/>
      <c r="Z119" s="373"/>
      <c r="AA119" s="373"/>
      <c r="AB119" s="373"/>
      <c r="AC119" s="373"/>
      <c r="AD119" s="373"/>
      <c r="AE119" s="373"/>
      <c r="AF119" s="373"/>
      <c r="AG119" s="373"/>
      <c r="AH119" s="373"/>
      <c r="AI119" s="373"/>
      <c r="AJ119" s="373"/>
      <c r="AK119" s="373"/>
      <c r="AL119" s="373"/>
      <c r="AM119" s="373"/>
      <c r="AN119" s="373"/>
      <c r="AO119" s="373"/>
      <c r="AP119" s="373"/>
      <c r="AQ119" s="373"/>
      <c r="AR119" s="373"/>
      <c r="AS119" s="373"/>
      <c r="AT119" s="373"/>
      <c r="AU119" s="373"/>
      <c r="AV119" s="373"/>
      <c r="AW119" s="373"/>
      <c r="AX119" s="373"/>
      <c r="AY119" s="373"/>
      <c r="AZ119" s="373"/>
    </row>
    <row r="120" spans="1:52" s="349" customFormat="1" ht="14.25" customHeight="1">
      <c r="A120" s="373"/>
      <c r="B120" s="439" t="s">
        <v>277</v>
      </c>
      <c r="C120" s="373"/>
      <c r="D120" s="434">
        <f>+_xlfn.XLOOKUP($B120,Inputs!$B:$B,Inputs!Q:Q)</f>
        <v>14359</v>
      </c>
      <c r="E120" s="438">
        <v>6641</v>
      </c>
      <c r="F120" s="444">
        <v>36517</v>
      </c>
      <c r="G120" s="633">
        <v>1181</v>
      </c>
      <c r="H120" s="626"/>
      <c r="I120" s="626"/>
      <c r="J120" s="626"/>
      <c r="K120" s="626"/>
      <c r="L120" s="626"/>
      <c r="M120" s="626"/>
      <c r="N120" s="437"/>
      <c r="O120" s="373"/>
      <c r="P120" s="373"/>
      <c r="Q120" s="373"/>
      <c r="R120" s="373"/>
      <c r="S120" s="373"/>
      <c r="T120" s="373"/>
      <c r="U120" s="373"/>
      <c r="V120" s="373"/>
      <c r="W120" s="373"/>
      <c r="X120" s="373"/>
      <c r="Y120" s="373"/>
      <c r="Z120" s="373"/>
      <c r="AA120" s="373"/>
      <c r="AB120" s="373"/>
      <c r="AC120" s="373"/>
      <c r="AD120" s="373"/>
      <c r="AE120" s="373"/>
      <c r="AF120" s="373"/>
      <c r="AG120" s="373"/>
      <c r="AH120" s="373"/>
      <c r="AI120" s="373"/>
      <c r="AJ120" s="373"/>
      <c r="AK120" s="373"/>
      <c r="AL120" s="373"/>
      <c r="AM120" s="373"/>
      <c r="AN120" s="373"/>
      <c r="AO120" s="373"/>
      <c r="AP120" s="373"/>
      <c r="AQ120" s="373"/>
      <c r="AR120" s="373"/>
      <c r="AS120" s="373"/>
      <c r="AT120" s="373"/>
      <c r="AU120" s="373"/>
      <c r="AV120" s="373"/>
      <c r="AW120" s="373"/>
      <c r="AX120" s="373"/>
      <c r="AY120" s="373"/>
      <c r="AZ120" s="373"/>
    </row>
    <row r="121" spans="1:52" s="349" customFormat="1" ht="14.25" customHeight="1">
      <c r="A121" s="373"/>
      <c r="B121" s="439" t="s">
        <v>278</v>
      </c>
      <c r="C121" s="373"/>
      <c r="D121" s="434">
        <f>+_xlfn.XLOOKUP($B121,Inputs!$B:$B,Inputs!Q:Q,,,-1)</f>
        <v>17725</v>
      </c>
      <c r="E121" s="438">
        <f>E120+2159</f>
        <v>8800</v>
      </c>
      <c r="F121" s="444">
        <f>F120+1860</f>
        <v>38377</v>
      </c>
      <c r="G121" s="633">
        <f>G120</f>
        <v>1181</v>
      </c>
      <c r="H121" s="626"/>
      <c r="I121" s="626"/>
      <c r="J121" s="626"/>
      <c r="K121" s="626"/>
      <c r="L121" s="626"/>
      <c r="M121" s="626"/>
      <c r="N121" s="437"/>
      <c r="O121" s="373"/>
      <c r="P121" s="373"/>
      <c r="Q121" s="373"/>
      <c r="R121" s="373"/>
      <c r="S121" s="373"/>
      <c r="T121" s="373"/>
      <c r="U121" s="373"/>
      <c r="V121" s="373"/>
      <c r="W121" s="373"/>
      <c r="X121" s="373"/>
      <c r="Y121" s="373"/>
      <c r="Z121" s="373"/>
      <c r="AA121" s="373"/>
      <c r="AB121" s="373"/>
      <c r="AC121" s="373"/>
      <c r="AD121" s="373"/>
      <c r="AE121" s="373"/>
      <c r="AF121" s="373"/>
      <c r="AG121" s="373"/>
      <c r="AH121" s="373"/>
      <c r="AI121" s="373"/>
      <c r="AJ121" s="373"/>
      <c r="AK121" s="373"/>
      <c r="AL121" s="373"/>
      <c r="AM121" s="373"/>
      <c r="AN121" s="373"/>
      <c r="AO121" s="373"/>
      <c r="AP121" s="373"/>
      <c r="AQ121" s="373"/>
      <c r="AR121" s="373"/>
      <c r="AS121" s="373"/>
      <c r="AT121" s="373"/>
      <c r="AU121" s="373"/>
      <c r="AV121" s="373"/>
      <c r="AW121" s="373"/>
      <c r="AX121" s="373"/>
      <c r="AY121" s="373"/>
      <c r="AZ121" s="373"/>
    </row>
    <row r="122" spans="1:52" s="349" customFormat="1" ht="14.25" customHeight="1">
      <c r="A122" s="373"/>
      <c r="B122" s="439" t="s">
        <v>279</v>
      </c>
      <c r="C122" s="373"/>
      <c r="D122" s="434">
        <f>+_xlfn.XLOOKUP($B122,Inputs!$B:$B,Inputs!Q:Q)</f>
        <v>383862</v>
      </c>
      <c r="E122" s="438">
        <v>126589</v>
      </c>
      <c r="F122" s="444">
        <v>62646</v>
      </c>
      <c r="G122" s="633">
        <v>107287</v>
      </c>
      <c r="H122" s="626"/>
      <c r="I122" s="626"/>
      <c r="J122" s="626"/>
      <c r="K122" s="626"/>
      <c r="L122" s="626"/>
      <c r="M122" s="626"/>
      <c r="N122" s="437"/>
      <c r="O122" s="373"/>
      <c r="P122" s="373"/>
      <c r="Q122" s="373"/>
      <c r="R122" s="373"/>
      <c r="S122" s="373"/>
      <c r="T122" s="373"/>
      <c r="U122" s="373"/>
      <c r="V122" s="373"/>
      <c r="W122" s="373"/>
      <c r="X122" s="373"/>
      <c r="Y122" s="373"/>
      <c r="Z122" s="373"/>
      <c r="AA122" s="373"/>
      <c r="AB122" s="373"/>
      <c r="AC122" s="373"/>
      <c r="AD122" s="373"/>
      <c r="AE122" s="373"/>
      <c r="AF122" s="373"/>
      <c r="AG122" s="373"/>
      <c r="AH122" s="373"/>
      <c r="AI122" s="373"/>
      <c r="AJ122" s="373"/>
      <c r="AK122" s="373"/>
      <c r="AL122" s="373"/>
      <c r="AM122" s="373"/>
      <c r="AN122" s="373"/>
      <c r="AO122" s="373"/>
      <c r="AP122" s="373"/>
      <c r="AQ122" s="373"/>
      <c r="AR122" s="373"/>
      <c r="AS122" s="373"/>
      <c r="AT122" s="373"/>
      <c r="AU122" s="373"/>
      <c r="AV122" s="373"/>
      <c r="AW122" s="373"/>
      <c r="AX122" s="373"/>
      <c r="AY122" s="373"/>
      <c r="AZ122" s="373"/>
    </row>
    <row r="123" spans="1:52" s="349" customFormat="1" ht="3.95" customHeight="1">
      <c r="A123" s="373"/>
      <c r="B123" s="439"/>
      <c r="C123" s="373"/>
      <c r="D123" s="623"/>
      <c r="E123" s="626"/>
      <c r="F123" s="626"/>
      <c r="G123" s="633"/>
      <c r="H123" s="626"/>
      <c r="I123" s="626"/>
      <c r="J123" s="626"/>
      <c r="K123" s="626"/>
      <c r="L123" s="626"/>
      <c r="M123" s="626"/>
      <c r="N123" s="437"/>
      <c r="O123" s="373"/>
      <c r="P123" s="373"/>
      <c r="Q123" s="373"/>
      <c r="R123" s="373"/>
      <c r="S123" s="373"/>
      <c r="T123" s="373"/>
      <c r="U123" s="373"/>
      <c r="V123" s="373"/>
      <c r="W123" s="373"/>
      <c r="X123" s="373"/>
      <c r="Y123" s="373"/>
      <c r="Z123" s="373"/>
      <c r="AA123" s="373"/>
      <c r="AB123" s="373"/>
      <c r="AC123" s="373"/>
      <c r="AD123" s="373"/>
      <c r="AE123" s="373"/>
      <c r="AF123" s="373"/>
      <c r="AG123" s="373"/>
      <c r="AH123" s="373"/>
      <c r="AI123" s="373"/>
      <c r="AJ123" s="373"/>
      <c r="AK123" s="373"/>
      <c r="AL123" s="373"/>
      <c r="AM123" s="373"/>
      <c r="AN123" s="373"/>
      <c r="AO123" s="373"/>
      <c r="AP123" s="373"/>
      <c r="AQ123" s="373"/>
      <c r="AR123" s="373"/>
      <c r="AS123" s="373"/>
      <c r="AT123" s="373"/>
      <c r="AU123" s="373"/>
      <c r="AV123" s="373"/>
      <c r="AW123" s="373"/>
      <c r="AX123" s="373"/>
      <c r="AY123" s="373"/>
      <c r="AZ123" s="373"/>
    </row>
    <row r="124" spans="1:52" s="349" customFormat="1" ht="14.25" customHeight="1">
      <c r="A124" s="373"/>
      <c r="B124" s="425" t="s">
        <v>280</v>
      </c>
      <c r="C124" s="410"/>
      <c r="D124" s="624"/>
      <c r="E124" s="627"/>
      <c r="F124" s="627"/>
      <c r="G124" s="636"/>
      <c r="H124" s="627"/>
      <c r="I124" s="627"/>
      <c r="J124" s="627"/>
      <c r="K124" s="627"/>
      <c r="L124" s="627"/>
      <c r="M124" s="627"/>
      <c r="N124" s="453"/>
      <c r="O124" s="373"/>
      <c r="P124" s="373"/>
      <c r="Q124" s="373"/>
      <c r="R124" s="373"/>
      <c r="S124" s="373"/>
      <c r="T124" s="373"/>
      <c r="U124" s="373"/>
      <c r="V124" s="373"/>
      <c r="W124" s="373"/>
      <c r="X124" s="373"/>
      <c r="Y124" s="373"/>
      <c r="Z124" s="373"/>
      <c r="AA124" s="373"/>
      <c r="AB124" s="373"/>
      <c r="AC124" s="373"/>
      <c r="AD124" s="373"/>
      <c r="AE124" s="373"/>
      <c r="AF124" s="373"/>
      <c r="AG124" s="373"/>
      <c r="AH124" s="373"/>
      <c r="AI124" s="373"/>
      <c r="AJ124" s="373"/>
      <c r="AK124" s="373"/>
      <c r="AL124" s="373"/>
      <c r="AM124" s="373"/>
      <c r="AN124" s="373"/>
      <c r="AO124" s="373"/>
      <c r="AP124" s="373"/>
      <c r="AQ124" s="373"/>
      <c r="AR124" s="373"/>
      <c r="AS124" s="373"/>
      <c r="AT124" s="373"/>
      <c r="AU124" s="373"/>
      <c r="AV124" s="373"/>
      <c r="AW124" s="373"/>
      <c r="AX124" s="373"/>
      <c r="AY124" s="373"/>
      <c r="AZ124" s="373"/>
    </row>
    <row r="125" spans="1:52" s="349" customFormat="1" ht="3.95" customHeight="1">
      <c r="A125" s="373"/>
      <c r="B125" s="426"/>
      <c r="C125" s="414"/>
      <c r="D125" s="625"/>
      <c r="E125" s="625"/>
      <c r="F125" s="628"/>
      <c r="G125" s="625"/>
      <c r="H125" s="628"/>
      <c r="I125" s="628"/>
      <c r="J125" s="628"/>
      <c r="K125" s="628"/>
      <c r="L125" s="628"/>
      <c r="M125" s="628"/>
      <c r="N125" s="419"/>
      <c r="O125" s="373"/>
      <c r="P125" s="373"/>
      <c r="Q125" s="373"/>
      <c r="R125" s="373"/>
      <c r="S125" s="373"/>
      <c r="T125" s="373"/>
      <c r="U125" s="373"/>
      <c r="V125" s="373"/>
      <c r="W125" s="373"/>
      <c r="X125" s="373"/>
      <c r="Y125" s="373"/>
      <c r="Z125" s="373"/>
      <c r="AA125" s="373"/>
      <c r="AB125" s="373"/>
      <c r="AC125" s="373"/>
      <c r="AD125" s="373"/>
      <c r="AE125" s="373"/>
      <c r="AF125" s="373"/>
      <c r="AG125" s="373"/>
      <c r="AH125" s="373"/>
      <c r="AI125" s="373"/>
      <c r="AJ125" s="373"/>
      <c r="AK125" s="373"/>
      <c r="AL125" s="373"/>
      <c r="AM125" s="373"/>
      <c r="AN125" s="373"/>
      <c r="AO125" s="373"/>
      <c r="AP125" s="373"/>
      <c r="AQ125" s="373"/>
      <c r="AR125" s="373"/>
      <c r="AS125" s="373"/>
      <c r="AT125" s="373"/>
      <c r="AU125" s="373"/>
      <c r="AV125" s="373"/>
      <c r="AW125" s="373"/>
      <c r="AX125" s="373"/>
      <c r="AY125" s="373"/>
      <c r="AZ125" s="373"/>
    </row>
    <row r="126" spans="1:52" s="349" customFormat="1" ht="14.25" customHeight="1">
      <c r="A126" s="373"/>
      <c r="B126" s="439" t="s">
        <v>281</v>
      </c>
      <c r="C126" s="373"/>
      <c r="D126" s="434">
        <f>+_xlfn.XLOOKUP($B126,Inputs!$B:$B,Inputs!Q:Q)</f>
        <v>-105683</v>
      </c>
      <c r="E126" s="626">
        <v>-50627</v>
      </c>
      <c r="F126" s="626">
        <v>-42643</v>
      </c>
      <c r="G126" s="633">
        <v>-16213</v>
      </c>
      <c r="H126" s="626"/>
      <c r="I126" s="626"/>
      <c r="J126" s="626"/>
      <c r="K126" s="626"/>
      <c r="L126" s="626"/>
      <c r="M126" s="626"/>
      <c r="N126" s="437"/>
      <c r="O126" s="373"/>
      <c r="P126" s="373"/>
      <c r="Q126" s="373"/>
      <c r="R126" s="373"/>
      <c r="S126" s="373"/>
      <c r="T126" s="373"/>
      <c r="U126" s="373"/>
      <c r="V126" s="373"/>
      <c r="W126" s="373"/>
      <c r="X126" s="373"/>
      <c r="Y126" s="373"/>
      <c r="Z126" s="373"/>
      <c r="AA126" s="373"/>
      <c r="AB126" s="373"/>
      <c r="AC126" s="373"/>
      <c r="AD126" s="373"/>
      <c r="AE126" s="373"/>
      <c r="AF126" s="373"/>
      <c r="AG126" s="373"/>
      <c r="AH126" s="373"/>
      <c r="AI126" s="373"/>
      <c r="AJ126" s="373"/>
      <c r="AK126" s="373"/>
      <c r="AL126" s="373"/>
      <c r="AM126" s="373"/>
      <c r="AN126" s="373"/>
      <c r="AO126" s="373"/>
      <c r="AP126" s="373"/>
      <c r="AQ126" s="373"/>
      <c r="AR126" s="373"/>
      <c r="AS126" s="373"/>
      <c r="AT126" s="373"/>
      <c r="AU126" s="373"/>
      <c r="AV126" s="373"/>
      <c r="AW126" s="373"/>
      <c r="AX126" s="373"/>
      <c r="AY126" s="373"/>
      <c r="AZ126" s="373"/>
    </row>
    <row r="127" spans="1:52" s="349" customFormat="1" ht="14.25" customHeight="1">
      <c r="A127" s="373"/>
      <c r="B127" s="439" t="s">
        <v>28</v>
      </c>
      <c r="C127" s="373"/>
      <c r="D127" s="434">
        <f>+_xlfn.XLOOKUP($B127,Inputs!$B:$B,Inputs!Q:Q)</f>
        <v>-23569</v>
      </c>
      <c r="E127" s="626">
        <v>-11098</v>
      </c>
      <c r="F127" s="626">
        <v>-2395</v>
      </c>
      <c r="G127" s="633">
        <v>-6036</v>
      </c>
      <c r="H127" s="626"/>
      <c r="I127" s="626"/>
      <c r="J127" s="626"/>
      <c r="K127" s="626"/>
      <c r="L127" s="626"/>
      <c r="M127" s="626"/>
      <c r="N127" s="437"/>
      <c r="O127" s="373"/>
      <c r="P127" s="373"/>
      <c r="Q127" s="373"/>
      <c r="R127" s="373"/>
      <c r="S127" s="373"/>
      <c r="T127" s="373"/>
      <c r="U127" s="373"/>
      <c r="V127" s="373"/>
      <c r="W127" s="373"/>
      <c r="X127" s="373"/>
      <c r="Y127" s="373"/>
      <c r="Z127" s="373"/>
      <c r="AA127" s="373"/>
      <c r="AB127" s="373"/>
      <c r="AC127" s="373"/>
      <c r="AD127" s="373"/>
      <c r="AE127" s="373"/>
      <c r="AF127" s="373"/>
      <c r="AG127" s="373"/>
      <c r="AH127" s="373"/>
      <c r="AI127" s="373"/>
      <c r="AJ127" s="373"/>
      <c r="AK127" s="373"/>
      <c r="AL127" s="373"/>
      <c r="AM127" s="373"/>
      <c r="AN127" s="373"/>
      <c r="AO127" s="373"/>
      <c r="AP127" s="373"/>
      <c r="AQ127" s="373"/>
      <c r="AR127" s="373"/>
      <c r="AS127" s="373"/>
      <c r="AT127" s="373"/>
      <c r="AU127" s="373"/>
      <c r="AV127" s="373"/>
      <c r="AW127" s="373"/>
      <c r="AX127" s="373"/>
      <c r="AY127" s="373"/>
      <c r="AZ127" s="373"/>
    </row>
    <row r="128" spans="1:52" s="349" customFormat="1" ht="14.25" customHeight="1">
      <c r="A128" s="373"/>
      <c r="B128" s="439" t="s">
        <v>282</v>
      </c>
      <c r="C128" s="373"/>
      <c r="D128" s="434">
        <f>+_xlfn.XLOOKUP($B128,Inputs!$B:$B,Inputs!Q:Q)</f>
        <v>82730</v>
      </c>
      <c r="E128" s="626">
        <v>-78362</v>
      </c>
      <c r="F128" s="626">
        <v>-3141</v>
      </c>
      <c r="G128" s="633">
        <v>-6036</v>
      </c>
      <c r="H128" s="626"/>
      <c r="I128" s="626"/>
      <c r="J128" s="626"/>
      <c r="K128" s="626"/>
      <c r="L128" s="626"/>
      <c r="M128" s="626"/>
      <c r="N128" s="437"/>
      <c r="O128" s="373"/>
      <c r="P128" s="373"/>
      <c r="Q128" s="373"/>
      <c r="R128" s="373"/>
      <c r="S128" s="373"/>
      <c r="T128" s="373"/>
      <c r="U128" s="373"/>
      <c r="V128" s="373"/>
      <c r="W128" s="373"/>
      <c r="X128" s="373"/>
      <c r="Y128" s="373"/>
      <c r="Z128" s="373"/>
      <c r="AA128" s="373"/>
      <c r="AB128" s="373"/>
      <c r="AC128" s="373"/>
      <c r="AD128" s="373"/>
      <c r="AE128" s="373"/>
      <c r="AF128" s="373"/>
      <c r="AG128" s="373"/>
      <c r="AH128" s="373"/>
      <c r="AI128" s="373"/>
      <c r="AJ128" s="373"/>
      <c r="AK128" s="373"/>
      <c r="AL128" s="373"/>
      <c r="AM128" s="373"/>
      <c r="AN128" s="373"/>
      <c r="AO128" s="373"/>
      <c r="AP128" s="373"/>
      <c r="AQ128" s="373"/>
      <c r="AR128" s="373"/>
      <c r="AS128" s="373"/>
      <c r="AT128" s="373"/>
      <c r="AU128" s="373"/>
      <c r="AV128" s="373"/>
      <c r="AW128" s="373"/>
      <c r="AX128" s="373"/>
      <c r="AY128" s="373"/>
      <c r="AZ128" s="373"/>
    </row>
    <row r="129" spans="1:52" s="349" customFormat="1" ht="14.25" customHeight="1">
      <c r="A129" s="373"/>
      <c r="B129" s="439" t="s">
        <v>283</v>
      </c>
      <c r="C129" s="373"/>
      <c r="D129" s="434">
        <f>+_xlfn.XLOOKUP($B129,Inputs!$B:$B,Inputs!Q:Q)</f>
        <v>0</v>
      </c>
      <c r="E129" s="626">
        <v>0</v>
      </c>
      <c r="F129" s="626">
        <v>0</v>
      </c>
      <c r="G129" s="633">
        <v>0</v>
      </c>
      <c r="H129" s="626"/>
      <c r="I129" s="626"/>
      <c r="J129" s="626"/>
      <c r="K129" s="626"/>
      <c r="L129" s="626"/>
      <c r="M129" s="626"/>
      <c r="N129" s="437"/>
      <c r="O129" s="373"/>
      <c r="P129" s="373"/>
      <c r="Q129" s="373"/>
      <c r="R129" s="373"/>
      <c r="S129" s="373"/>
      <c r="T129" s="373"/>
      <c r="U129" s="373"/>
      <c r="V129" s="373"/>
      <c r="W129" s="373"/>
      <c r="X129" s="373"/>
      <c r="Y129" s="373"/>
      <c r="Z129" s="373"/>
      <c r="AA129" s="373"/>
      <c r="AB129" s="373"/>
      <c r="AC129" s="373"/>
      <c r="AD129" s="373"/>
      <c r="AE129" s="373"/>
      <c r="AF129" s="373"/>
      <c r="AG129" s="373"/>
      <c r="AH129" s="373"/>
      <c r="AI129" s="373"/>
      <c r="AJ129" s="373"/>
      <c r="AK129" s="373"/>
      <c r="AL129" s="373"/>
      <c r="AM129" s="373"/>
      <c r="AN129" s="373"/>
      <c r="AO129" s="373"/>
      <c r="AP129" s="373"/>
      <c r="AQ129" s="373"/>
      <c r="AR129" s="373"/>
      <c r="AS129" s="373"/>
      <c r="AT129" s="373"/>
      <c r="AU129" s="373"/>
      <c r="AV129" s="373"/>
      <c r="AW129" s="373"/>
      <c r="AX129" s="373"/>
      <c r="AY129" s="373"/>
      <c r="AZ129" s="373"/>
    </row>
    <row r="130" spans="1:52" s="349" customFormat="1" ht="14.25" customHeight="1">
      <c r="A130" s="373"/>
      <c r="B130" s="439" t="s">
        <v>284</v>
      </c>
      <c r="C130" s="373"/>
      <c r="D130" s="434">
        <f>+_xlfn.XLOOKUP($B130,Inputs!$B:$B,Inputs!Q:Q)</f>
        <v>0</v>
      </c>
      <c r="E130" s="626">
        <v>-23328</v>
      </c>
      <c r="F130" s="626">
        <v>-30370</v>
      </c>
      <c r="G130" s="633">
        <v>0</v>
      </c>
      <c r="H130" s="626"/>
      <c r="I130" s="626"/>
      <c r="J130" s="626"/>
      <c r="K130" s="626"/>
      <c r="L130" s="626"/>
      <c r="M130" s="626"/>
      <c r="N130" s="437"/>
      <c r="O130" s="373"/>
      <c r="P130" s="373"/>
      <c r="Q130" s="373"/>
      <c r="R130" s="373"/>
      <c r="S130" s="373"/>
      <c r="T130" s="373"/>
      <c r="U130" s="373"/>
      <c r="V130" s="373"/>
      <c r="W130" s="373"/>
      <c r="X130" s="373"/>
      <c r="Y130" s="373"/>
      <c r="Z130" s="373"/>
      <c r="AA130" s="373"/>
      <c r="AB130" s="373"/>
      <c r="AC130" s="373"/>
      <c r="AD130" s="373"/>
      <c r="AE130" s="373"/>
      <c r="AF130" s="373"/>
      <c r="AG130" s="373"/>
      <c r="AH130" s="373"/>
      <c r="AI130" s="373"/>
      <c r="AJ130" s="373"/>
      <c r="AK130" s="373"/>
      <c r="AL130" s="373"/>
      <c r="AM130" s="373"/>
      <c r="AN130" s="373"/>
      <c r="AO130" s="373"/>
      <c r="AP130" s="373"/>
      <c r="AQ130" s="373"/>
      <c r="AR130" s="373"/>
      <c r="AS130" s="373"/>
      <c r="AT130" s="373"/>
      <c r="AU130" s="373"/>
      <c r="AV130" s="373"/>
      <c r="AW130" s="373"/>
      <c r="AX130" s="373"/>
      <c r="AY130" s="373"/>
      <c r="AZ130" s="373"/>
    </row>
    <row r="131" spans="1:52" s="349" customFormat="1" ht="14.25" customHeight="1">
      <c r="A131" s="373"/>
      <c r="B131" s="439" t="s">
        <v>285</v>
      </c>
      <c r="C131" s="373"/>
      <c r="D131" s="434">
        <f>+_xlfn.XLOOKUP($B131,Inputs!$B:$B,Inputs!Q:Q)</f>
        <v>41687</v>
      </c>
      <c r="E131" s="626">
        <v>175459</v>
      </c>
      <c r="F131" s="626">
        <v>182450</v>
      </c>
      <c r="G131" s="633">
        <v>99135</v>
      </c>
      <c r="H131" s="626"/>
      <c r="I131" s="626"/>
      <c r="J131" s="626"/>
      <c r="K131" s="626"/>
      <c r="L131" s="626"/>
      <c r="M131" s="626"/>
      <c r="N131" s="437"/>
      <c r="O131" s="373"/>
      <c r="P131" s="373"/>
      <c r="Q131" s="373"/>
      <c r="R131" s="373"/>
      <c r="S131" s="373"/>
      <c r="T131" s="373"/>
      <c r="U131" s="373"/>
      <c r="V131" s="373"/>
      <c r="W131" s="373"/>
      <c r="X131" s="373"/>
      <c r="Y131" s="373"/>
      <c r="Z131" s="373"/>
      <c r="AA131" s="373"/>
      <c r="AB131" s="373"/>
      <c r="AC131" s="373"/>
      <c r="AD131" s="373"/>
      <c r="AE131" s="373"/>
      <c r="AF131" s="373"/>
      <c r="AG131" s="373"/>
      <c r="AH131" s="373"/>
      <c r="AI131" s="373"/>
      <c r="AJ131" s="373"/>
      <c r="AK131" s="373"/>
      <c r="AL131" s="373"/>
      <c r="AM131" s="373"/>
      <c r="AN131" s="373"/>
      <c r="AO131" s="373"/>
      <c r="AP131" s="373"/>
      <c r="AQ131" s="373"/>
      <c r="AR131" s="373"/>
      <c r="AS131" s="373"/>
      <c r="AT131" s="373"/>
      <c r="AU131" s="373"/>
      <c r="AV131" s="373"/>
      <c r="AW131" s="373"/>
      <c r="AX131" s="373"/>
      <c r="AY131" s="373"/>
      <c r="AZ131" s="373"/>
    </row>
    <row r="132" spans="1:52" s="349" customFormat="1" ht="14.25" customHeight="1">
      <c r="A132" s="373"/>
      <c r="B132" s="439" t="s">
        <v>286</v>
      </c>
      <c r="C132" s="373"/>
      <c r="D132" s="434">
        <f>+_xlfn.XLOOKUP($B132,Inputs!$B:$B,Inputs!Q:Q)</f>
        <v>18759</v>
      </c>
      <c r="E132" s="626">
        <v>46470</v>
      </c>
      <c r="F132" s="626">
        <v>136666</v>
      </c>
      <c r="G132" s="633">
        <v>76886</v>
      </c>
      <c r="H132" s="626"/>
      <c r="I132" s="626"/>
      <c r="J132" s="626"/>
      <c r="K132" s="626"/>
      <c r="L132" s="626"/>
      <c r="M132" s="626"/>
      <c r="N132" s="437"/>
      <c r="O132" s="373"/>
      <c r="P132" s="373"/>
      <c r="Q132" s="373"/>
      <c r="R132" s="373"/>
      <c r="S132" s="373"/>
      <c r="T132" s="373"/>
      <c r="U132" s="373"/>
      <c r="V132" s="373"/>
      <c r="W132" s="373"/>
      <c r="X132" s="373"/>
      <c r="Y132" s="373"/>
      <c r="Z132" s="373"/>
      <c r="AA132" s="373"/>
      <c r="AB132" s="373"/>
      <c r="AC132" s="373"/>
      <c r="AD132" s="373"/>
      <c r="AE132" s="373"/>
      <c r="AF132" s="373"/>
      <c r="AG132" s="373"/>
      <c r="AH132" s="373"/>
      <c r="AI132" s="373"/>
      <c r="AJ132" s="373"/>
      <c r="AK132" s="373"/>
      <c r="AL132" s="373"/>
      <c r="AM132" s="373"/>
      <c r="AN132" s="373"/>
      <c r="AO132" s="373"/>
      <c r="AP132" s="373"/>
      <c r="AQ132" s="373"/>
      <c r="AR132" s="373"/>
      <c r="AS132" s="373"/>
      <c r="AT132" s="373"/>
      <c r="AU132" s="373"/>
      <c r="AV132" s="373"/>
      <c r="AW132" s="373"/>
      <c r="AX132" s="373"/>
      <c r="AY132" s="373"/>
      <c r="AZ132" s="373"/>
    </row>
    <row r="133" spans="1:52" s="349" customFormat="1" ht="3.95" customHeight="1">
      <c r="A133" s="373"/>
      <c r="B133" s="440"/>
      <c r="C133" s="373"/>
      <c r="D133" s="620"/>
      <c r="E133" s="621"/>
      <c r="F133" s="621"/>
      <c r="G133" s="621"/>
      <c r="H133" s="621"/>
      <c r="I133" s="621"/>
      <c r="J133" s="621"/>
      <c r="K133" s="621"/>
      <c r="L133" s="621"/>
      <c r="M133" s="621"/>
      <c r="N133" s="622"/>
      <c r="O133" s="373"/>
      <c r="P133" s="373"/>
      <c r="Q133" s="373"/>
      <c r="R133" s="373"/>
      <c r="S133" s="373"/>
      <c r="T133" s="373"/>
      <c r="U133" s="373"/>
      <c r="V133" s="373"/>
      <c r="W133" s="373"/>
      <c r="X133" s="373"/>
      <c r="Y133" s="373"/>
      <c r="Z133" s="373"/>
      <c r="AA133" s="373"/>
      <c r="AB133" s="373"/>
      <c r="AC133" s="373"/>
      <c r="AD133" s="373"/>
      <c r="AE133" s="373"/>
      <c r="AF133" s="373"/>
      <c r="AG133" s="373"/>
      <c r="AH133" s="373"/>
      <c r="AI133" s="373"/>
      <c r="AJ133" s="373"/>
      <c r="AK133" s="373"/>
      <c r="AL133" s="373"/>
      <c r="AM133" s="373"/>
      <c r="AN133" s="373"/>
      <c r="AO133" s="373"/>
      <c r="AP133" s="373"/>
      <c r="AQ133" s="373"/>
      <c r="AR133" s="373"/>
      <c r="AS133" s="373"/>
      <c r="AT133" s="373"/>
      <c r="AU133" s="373"/>
      <c r="AV133" s="373"/>
      <c r="AW133" s="373"/>
      <c r="AX133" s="373"/>
      <c r="AY133" s="373"/>
      <c r="AZ133" s="373"/>
    </row>
    <row r="134" spans="1:52" ht="14.25" customHeight="1">
      <c r="B134" s="56" t="s">
        <v>106</v>
      </c>
      <c r="C134" s="57"/>
      <c r="D134" s="56"/>
      <c r="E134" s="57"/>
      <c r="F134" s="57"/>
      <c r="G134" s="57"/>
      <c r="H134" s="57"/>
      <c r="I134" s="57"/>
      <c r="J134" s="84"/>
      <c r="K134" s="85"/>
      <c r="L134" s="85"/>
      <c r="M134" s="85"/>
      <c r="N134" s="85"/>
      <c r="O134" s="85"/>
    </row>
    <row r="135" spans="1:52" ht="3.75" customHeight="1">
      <c r="B135" s="58"/>
      <c r="C135" s="58"/>
      <c r="D135" s="58"/>
      <c r="E135" s="58"/>
      <c r="F135" s="58"/>
      <c r="G135" s="58"/>
      <c r="H135" s="58"/>
      <c r="I135" s="58"/>
      <c r="J135" s="86"/>
      <c r="K135" s="86"/>
      <c r="L135" s="86"/>
      <c r="M135" s="86"/>
      <c r="N135" s="86"/>
      <c r="O135" s="86"/>
    </row>
    <row r="136" spans="1:52" ht="14.25" customHeight="1">
      <c r="B136" s="841" t="s">
        <v>287</v>
      </c>
    </row>
    <row r="137" spans="1:52" ht="14.25" customHeight="1">
      <c r="B137" s="373" t="s">
        <v>288</v>
      </c>
    </row>
    <row r="142" spans="1:52" ht="14.25" customHeight="1">
      <c r="B142" s="56" t="s">
        <v>177</v>
      </c>
      <c r="C142" s="57"/>
      <c r="D142" s="56"/>
      <c r="E142" s="57"/>
      <c r="F142" s="57"/>
      <c r="G142" s="57"/>
      <c r="H142" s="57"/>
      <c r="I142" s="57"/>
      <c r="J142" s="84"/>
      <c r="K142" s="85"/>
      <c r="L142" s="85"/>
      <c r="M142" s="85"/>
      <c r="N142" s="85"/>
      <c r="O142" s="85"/>
    </row>
    <row r="143" spans="1:52" ht="4.3499999999999996" customHeight="1">
      <c r="B143" s="675"/>
      <c r="C143" s="675"/>
      <c r="D143" s="675"/>
      <c r="E143" s="675"/>
      <c r="F143" s="675"/>
      <c r="G143" s="675"/>
      <c r="H143" s="675"/>
      <c r="I143" s="675"/>
      <c r="J143" s="675"/>
      <c r="K143" s="675"/>
      <c r="L143" s="675"/>
      <c r="M143" s="675"/>
      <c r="N143" s="675"/>
      <c r="O143" s="675"/>
    </row>
  </sheetData>
  <mergeCells count="7">
    <mergeCell ref="D21:F21"/>
    <mergeCell ref="J21:L21"/>
    <mergeCell ref="M21:O21"/>
    <mergeCell ref="H3:I3"/>
    <mergeCell ref="J3:K3"/>
    <mergeCell ref="N3:O3"/>
    <mergeCell ref="L3:M3"/>
  </mergeCells>
  <conditionalFormatting sqref="D8:D17 D6">
    <cfRule type="colorScale" priority="25">
      <colorScale>
        <cfvo type="min"/>
        <cfvo type="percentile" val="50"/>
        <cfvo type="max"/>
        <color rgb="FFF8696B"/>
        <color rgb="FFFFEB84"/>
        <color rgb="FF63BE7B"/>
      </colorScale>
    </cfRule>
  </conditionalFormatting>
  <conditionalFormatting sqref="E8:E17 E6">
    <cfRule type="colorScale" priority="24">
      <colorScale>
        <cfvo type="min"/>
        <cfvo type="percentile" val="50"/>
        <cfvo type="max"/>
        <color rgb="FFF8696B"/>
        <color rgb="FFFFEB84"/>
        <color rgb="FF63BE7B"/>
      </colorScale>
    </cfRule>
  </conditionalFormatting>
  <conditionalFormatting sqref="F8:G17 F6:G6">
    <cfRule type="colorScale" priority="22">
      <colorScale>
        <cfvo type="min"/>
        <cfvo type="percentile" val="50"/>
        <cfvo type="max"/>
        <color rgb="FFF8696B"/>
        <color rgb="FFFFEB84"/>
        <color rgb="FF63BE7B"/>
      </colorScale>
    </cfRule>
  </conditionalFormatting>
  <conditionalFormatting sqref="H6:H12">
    <cfRule type="colorScale" priority="34">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onditionalFormatting>
  <conditionalFormatting sqref="H8:H17 H6">
    <cfRule type="colorScale" priority="21">
      <colorScale>
        <cfvo type="min"/>
        <cfvo type="percentile" val="50"/>
        <cfvo type="max"/>
        <color rgb="FFF8696B"/>
        <color rgb="FFFFEB84"/>
        <color rgb="FF63BE7B"/>
      </colorScale>
    </cfRule>
  </conditionalFormatting>
  <conditionalFormatting sqref="H13:H17">
    <cfRule type="colorScale" priority="58">
      <colorScale>
        <cfvo type="min"/>
        <cfvo type="percentile" val="50"/>
        <cfvo type="max"/>
        <color rgb="FFF8696B"/>
        <color rgb="FFFFEB84"/>
        <color rgb="FF63BE7B"/>
      </colorScale>
    </cfRule>
  </conditionalFormatting>
  <conditionalFormatting sqref="I7">
    <cfRule type="colorScale" priority="20">
      <colorScale>
        <cfvo type="min"/>
        <cfvo type="percentile" val="50"/>
        <cfvo type="max"/>
        <color rgb="FF63BE7B"/>
        <color rgb="FFFFEB84"/>
        <color rgb="FFF8696B"/>
      </colorScale>
    </cfRule>
    <cfRule type="colorScale" priority="19">
      <colorScale>
        <cfvo type="min"/>
        <cfvo type="percentile" val="50"/>
        <cfvo type="max"/>
        <color rgb="FF63BE7B"/>
        <color rgb="FFFFEB84"/>
        <color rgb="FFF8696B"/>
      </colorScale>
    </cfRule>
  </conditionalFormatting>
  <conditionalFormatting sqref="I8:I17 I6">
    <cfRule type="colorScale" priority="18">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fRule type="colorScale" priority="76">
      <colorScale>
        <cfvo type="min"/>
        <cfvo type="percentile" val="50"/>
        <cfvo type="max"/>
        <color rgb="FF63BE7B"/>
        <color rgb="FFFFEB84"/>
        <color rgb="FFF8696B"/>
      </colorScale>
    </cfRule>
  </conditionalFormatting>
  <conditionalFormatting sqref="J6:J17">
    <cfRule type="colorScale" priority="26">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J13:J17">
    <cfRule type="colorScale" priority="56">
      <colorScale>
        <cfvo type="min"/>
        <cfvo type="percentile" val="50"/>
        <cfvo type="max"/>
        <color rgb="FFF8696B"/>
        <color rgb="FFFFEB84"/>
        <color rgb="FF63BE7B"/>
      </colorScale>
    </cfRule>
  </conditionalFormatting>
  <conditionalFormatting sqref="J8:K17 J6:K6">
    <cfRule type="colorScale" priority="17">
      <colorScale>
        <cfvo type="min"/>
        <cfvo type="percentile" val="50"/>
        <cfvo type="max"/>
        <color rgb="FF63BE7B"/>
        <color rgb="FFFFEB84"/>
        <color rgb="FFF8696B"/>
      </colorScale>
    </cfRule>
  </conditionalFormatting>
  <conditionalFormatting sqref="K6:K17">
    <cfRule type="colorScale" priority="10">
      <colorScale>
        <cfvo type="min"/>
        <cfvo type="percentile" val="50"/>
        <cfvo type="max"/>
        <color rgb="FF63BE7B"/>
        <color rgb="FFFFEB84"/>
        <color rgb="FFF8696B"/>
      </colorScale>
    </cfRule>
    <cfRule type="colorScale" priority="11">
      <colorScale>
        <cfvo type="min"/>
        <cfvo type="percentile" val="50"/>
        <cfvo type="max"/>
        <color rgb="FF63BE7B"/>
        <color rgb="FFFFEB84"/>
        <color rgb="FFF8696B"/>
      </colorScale>
    </cfRule>
  </conditionalFormatting>
  <conditionalFormatting sqref="K8:K17 K6">
    <cfRule type="colorScale" priority="9">
      <colorScale>
        <cfvo type="min"/>
        <cfvo type="percentile" val="50"/>
        <cfvo type="max"/>
        <color rgb="FF63BE7B"/>
        <color rgb="FFFFEB84"/>
        <color rgb="FFF8696B"/>
      </colorScale>
    </cfRule>
  </conditionalFormatting>
  <conditionalFormatting sqref="K13:K17">
    <cfRule type="colorScale" priority="12">
      <colorScale>
        <cfvo type="min"/>
        <cfvo type="percentile" val="50"/>
        <cfvo type="max"/>
        <color rgb="FFF8696B"/>
        <color rgb="FFFFEB84"/>
        <color rgb="FF63BE7B"/>
      </colorScale>
    </cfRule>
  </conditionalFormatting>
  <conditionalFormatting sqref="L8:L17 L6">
    <cfRule type="colorScale" priority="8">
      <colorScale>
        <cfvo type="min"/>
        <cfvo type="percentile" val="50"/>
        <cfvo type="max"/>
        <color rgb="FF63BE7B"/>
        <color rgb="FFFFEB84"/>
        <color rgb="FFF8696B"/>
      </colorScale>
    </cfRule>
  </conditionalFormatting>
  <conditionalFormatting sqref="L13:L17">
    <cfRule type="colorScale" priority="74">
      <colorScale>
        <cfvo type="min"/>
        <cfvo type="percentile" val="50"/>
        <cfvo type="max"/>
        <color rgb="FFF8696B"/>
        <color rgb="FFFFEB84"/>
        <color rgb="FF63BE7B"/>
      </colorScale>
    </cfRule>
  </conditionalFormatting>
  <conditionalFormatting sqref="M8:M17 M6">
    <cfRule type="colorScale" priority="7">
      <colorScale>
        <cfvo type="min"/>
        <cfvo type="percentile" val="50"/>
        <cfvo type="max"/>
        <color rgb="FF63BE7B"/>
        <color rgb="FFFFEB84"/>
        <color rgb="FFF8696B"/>
      </colorScale>
    </cfRule>
  </conditionalFormatting>
  <conditionalFormatting sqref="M13:M17">
    <cfRule type="colorScale" priority="73">
      <colorScale>
        <cfvo type="min"/>
        <cfvo type="percentile" val="50"/>
        <cfvo type="max"/>
        <color rgb="FFF8696B"/>
        <color rgb="FFFFEB84"/>
        <color rgb="FF63BE7B"/>
      </colorScale>
    </cfRule>
  </conditionalFormatting>
  <conditionalFormatting sqref="M24:O27">
    <cfRule type="colorScale" priority="1">
      <colorScale>
        <cfvo type="min"/>
        <cfvo type="num" val="0"/>
        <cfvo type="max"/>
        <color rgb="FFF8696B"/>
        <color rgb="FFFCFCFF"/>
        <color rgb="FF63BE7B"/>
      </colorScale>
    </cfRule>
  </conditionalFormatting>
  <conditionalFormatting sqref="N8:N17 N6">
    <cfRule type="colorScale" priority="6">
      <colorScale>
        <cfvo type="min"/>
        <cfvo type="percentile" val="50"/>
        <cfvo type="max"/>
        <color rgb="FF63BE7B"/>
        <color rgb="FFFFEB84"/>
        <color rgb="FFF8696B"/>
      </colorScale>
    </cfRule>
  </conditionalFormatting>
  <conditionalFormatting sqref="O8:O17 O6">
    <cfRule type="colorScale" priority="5">
      <colorScale>
        <cfvo type="min"/>
        <cfvo type="percentile" val="50"/>
        <cfvo type="max"/>
        <color rgb="FF63BE7B"/>
        <color rgb="FFFFEB84"/>
        <color rgb="FFF8696B"/>
      </colorScale>
    </cfRule>
  </conditionalFormatting>
  <conditionalFormatting sqref="P13:P17">
    <cfRule type="colorScale" priority="51">
      <colorScale>
        <cfvo type="min"/>
        <cfvo type="percentile" val="50"/>
        <cfvo type="max"/>
        <color rgb="FF63BE7B"/>
        <color rgb="FFFFEB84"/>
        <color rgb="FFF8696B"/>
      </colorScale>
    </cfRule>
  </conditionalFormatting>
  <conditionalFormatting sqref="Q13:Q17">
    <cfRule type="colorScale" priority="50">
      <colorScale>
        <cfvo type="min"/>
        <cfvo type="percentile" val="50"/>
        <cfvo type="max"/>
        <color rgb="FF63BE7B"/>
        <color rgb="FFFFEB84"/>
        <color rgb="FFF8696B"/>
      </colorScale>
    </cfRule>
  </conditionalFormatting>
  <conditionalFormatting sqref="R13:R17">
    <cfRule type="colorScale" priority="49">
      <colorScale>
        <cfvo type="min"/>
        <cfvo type="percentile" val="50"/>
        <cfvo type="max"/>
        <color rgb="FFF8696B"/>
        <color rgb="FFFFEB84"/>
        <color rgb="FF63BE7B"/>
      </colorScale>
    </cfRule>
  </conditionalFormatting>
  <conditionalFormatting sqref="T13:T17">
    <cfRule type="colorScale" priority="48">
      <colorScale>
        <cfvo type="min"/>
        <cfvo type="percentile" val="50"/>
        <cfvo type="max"/>
        <color rgb="FFF8696B"/>
        <color rgb="FFFFEB84"/>
        <color rgb="FF63BE7B"/>
      </colorScale>
    </cfRule>
    <cfRule type="colorScale" priority="68">
      <colorScale>
        <cfvo type="min"/>
        <cfvo type="percentile" val="50"/>
        <cfvo type="max"/>
        <color rgb="FFF8696B"/>
        <color rgb="FFFFEB84"/>
        <color rgb="FF63BE7B"/>
      </colorScale>
    </cfRule>
  </conditionalFormatting>
  <conditionalFormatting sqref="U13:U17">
    <cfRule type="colorScale" priority="47">
      <colorScale>
        <cfvo type="min"/>
        <cfvo type="percentile" val="50"/>
        <cfvo type="max"/>
        <color rgb="FFF8696B"/>
        <color rgb="FFFFEB84"/>
        <color rgb="FF63BE7B"/>
      </colorScale>
    </cfRule>
    <cfRule type="colorScale" priority="67">
      <colorScale>
        <cfvo type="min"/>
        <cfvo type="percentile" val="50"/>
        <cfvo type="max"/>
        <color rgb="FFF8696B"/>
        <color rgb="FFFFEB84"/>
        <color rgb="FF63BE7B"/>
      </colorScale>
    </cfRule>
  </conditionalFormatting>
  <conditionalFormatting sqref="W13:W17">
    <cfRule type="colorScale" priority="46">
      <colorScale>
        <cfvo type="min"/>
        <cfvo type="percentile" val="50"/>
        <cfvo type="max"/>
        <color rgb="FFF8696B"/>
        <color rgb="FFFFEB84"/>
        <color rgb="FF63BE7B"/>
      </colorScale>
    </cfRule>
    <cfRule type="colorScale" priority="66">
      <colorScale>
        <cfvo type="min"/>
        <cfvo type="percentile" val="50"/>
        <cfvo type="max"/>
        <color rgb="FFF8696B"/>
        <color rgb="FFFFEB84"/>
        <color rgb="FF63BE7B"/>
      </colorScale>
    </cfRule>
  </conditionalFormatting>
  <conditionalFormatting sqref="X13:X17">
    <cfRule type="colorScale" priority="45">
      <colorScale>
        <cfvo type="min"/>
        <cfvo type="percentile" val="50"/>
        <cfvo type="max"/>
        <color rgb="FFF8696B"/>
        <color rgb="FFFFEB84"/>
        <color rgb="FF63BE7B"/>
      </colorScale>
    </cfRule>
    <cfRule type="colorScale" priority="65">
      <colorScale>
        <cfvo type="min"/>
        <cfvo type="percentile" val="50"/>
        <cfvo type="max"/>
        <color rgb="FFF8696B"/>
        <color rgb="FFFFEB84"/>
        <color rgb="FF63BE7B"/>
      </colorScale>
    </cfRule>
  </conditionalFormatting>
  <conditionalFormatting sqref="Y13:Y17">
    <cfRule type="colorScale" priority="64">
      <colorScale>
        <cfvo type="min"/>
        <cfvo type="percentile" val="50"/>
        <cfvo type="max"/>
        <color rgb="FF63BE7B"/>
        <color rgb="FFFFEB84"/>
        <color rgb="FFF8696B"/>
      </colorScale>
    </cfRule>
  </conditionalFormatting>
  <conditionalFormatting sqref="Z13:Z17">
    <cfRule type="colorScale" priority="63">
      <colorScale>
        <cfvo type="min"/>
        <cfvo type="percentile" val="50"/>
        <cfvo type="max"/>
        <color rgb="FFF8696B"/>
        <color rgb="FFFFEB84"/>
        <color rgb="FF63BE7B"/>
      </colorScale>
    </cfRule>
    <cfRule type="colorScale" priority="44">
      <colorScale>
        <cfvo type="min"/>
        <cfvo type="percentile" val="50"/>
        <cfvo type="max"/>
        <color rgb="FFF8696B"/>
        <color rgb="FFFFEB84"/>
        <color rgb="FF63BE7B"/>
      </colorScale>
    </cfRule>
  </conditionalFormatting>
  <conditionalFormatting sqref="AA13:AA17">
    <cfRule type="colorScale" priority="62">
      <colorScale>
        <cfvo type="min"/>
        <cfvo type="percentile" val="50"/>
        <cfvo type="max"/>
        <color rgb="FFF8696B"/>
        <color rgb="FFFFEB84"/>
        <color rgb="FF63BE7B"/>
      </colorScale>
    </cfRule>
    <cfRule type="colorScale" priority="43">
      <colorScale>
        <cfvo type="min"/>
        <cfvo type="percentile" val="50"/>
        <cfvo type="max"/>
        <color rgb="FFF8696B"/>
        <color rgb="FFFFEB84"/>
        <color rgb="FF63BE7B"/>
      </colorScale>
    </cfRule>
  </conditionalFormatting>
  <conditionalFormatting sqref="AB13:AB17">
    <cfRule type="colorScale" priority="42">
      <colorScale>
        <cfvo type="min"/>
        <cfvo type="percentile" val="50"/>
        <cfvo type="max"/>
        <color rgb="FF63BE7B"/>
        <color rgb="FFFFEB84"/>
        <color rgb="FFF8696B"/>
      </colorScale>
    </cfRule>
  </conditionalFormatting>
  <conditionalFormatting sqref="AD6:AD17">
    <cfRule type="colorScale" priority="61">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AE6:AE17">
    <cfRule type="colorScale" priority="40">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AF6:AF17">
    <cfRule type="colorScale" priority="39">
      <colorScale>
        <cfvo type="min"/>
        <cfvo type="percentile" val="50"/>
        <cfvo type="max"/>
        <color rgb="FF63BE7B"/>
        <color rgb="FFFFEB84"/>
        <color rgb="FFF8696B"/>
      </colorScale>
    </cfRule>
    <cfRule type="colorScale" priority="71">
      <colorScale>
        <cfvo type="min"/>
        <cfvo type="percentile" val="50"/>
        <cfvo type="max"/>
        <color rgb="FF63BE7B"/>
        <color rgb="FFFFEB84"/>
        <color rgb="FFF8696B"/>
      </colorScale>
    </cfRule>
  </conditionalFormatting>
  <conditionalFormatting sqref="AG6:AG17">
    <cfRule type="colorScale" priority="38">
      <colorScale>
        <cfvo type="min"/>
        <cfvo type="percentile" val="50"/>
        <cfvo type="max"/>
        <color rgb="FF63BE7B"/>
        <color rgb="FFFFEB84"/>
        <color rgb="FFF8696B"/>
      </colorScale>
    </cfRule>
    <cfRule type="colorScale" priority="70">
      <colorScale>
        <cfvo type="min"/>
        <cfvo type="percentile" val="50"/>
        <cfvo type="max"/>
        <color rgb="FF63BE7B"/>
        <color rgb="FFFFEB84"/>
        <color rgb="FFF8696B"/>
      </colorScale>
    </cfRule>
  </conditionalFormatting>
  <conditionalFormatting sqref="AH6:AH17">
    <cfRule type="colorScale" priority="37">
      <colorScale>
        <cfvo type="min"/>
        <cfvo type="percentile" val="50"/>
        <cfvo type="max"/>
        <color rgb="FF63BE7B"/>
        <color rgb="FFFFEB84"/>
        <color rgb="FFF8696B"/>
      </colorScale>
    </cfRule>
    <cfRule type="colorScale" priority="69">
      <colorScale>
        <cfvo type="min"/>
        <cfvo type="percentile" val="50"/>
        <cfvo type="max"/>
        <color rgb="FF63BE7B"/>
        <color rgb="FFFFEB84"/>
        <color rgb="FFF8696B"/>
      </colorScale>
    </cfRule>
  </conditionalFormatting>
  <conditionalFormatting sqref="AN6:AN17">
    <cfRule type="colorScale" priority="36">
      <colorScale>
        <cfvo type="min"/>
        <cfvo type="percentile" val="50"/>
        <cfvo type="max"/>
        <color rgb="FFF8696B"/>
        <color rgb="FFFFEB84"/>
        <color rgb="FF63BE7B"/>
      </colorScale>
    </cfRule>
  </conditionalFormatting>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1:AD99"/>
  <sheetViews>
    <sheetView showGridLines="0" topLeftCell="A52" zoomScaleNormal="100" workbookViewId="0">
      <selection activeCell="O74" sqref="O74:V75"/>
    </sheetView>
  </sheetViews>
  <sheetFormatPr defaultColWidth="7.625" defaultRowHeight="12.75" customHeight="1"/>
  <cols>
    <col min="1" max="1" width="2" style="36" customWidth="1"/>
    <col min="2" max="2" width="26.375" style="36" customWidth="1"/>
    <col min="3" max="3" width="21.125" style="35" customWidth="1"/>
    <col min="4" max="4" width="4.125" style="36" customWidth="1"/>
    <col min="5" max="5" width="37.5" style="36" customWidth="1"/>
    <col min="6" max="6" width="3.375" style="36" customWidth="1"/>
    <col min="7" max="7" width="13.625" style="36" customWidth="1"/>
    <col min="8" max="8" width="29.375" style="36" customWidth="1"/>
    <col min="9" max="12" width="11.125" style="36" customWidth="1"/>
    <col min="13" max="13" width="4.125" style="36" customWidth="1"/>
    <col min="14" max="21" width="11.125" style="36" customWidth="1"/>
    <col min="22" max="22" width="12.5" style="36" customWidth="1"/>
    <col min="23" max="23" width="9.875" style="36" customWidth="1"/>
    <col min="24" max="24" width="14" style="36" customWidth="1"/>
    <col min="25" max="25" width="11.375" style="36" customWidth="1"/>
    <col min="26" max="26" width="14.125" style="36" customWidth="1"/>
    <col min="27" max="27" width="8" style="36" customWidth="1"/>
    <col min="28" max="28" width="8.625" style="36" bestFit="1" customWidth="1"/>
    <col min="29" max="29" width="6.375" style="36" customWidth="1"/>
    <col min="30" max="30" width="7.125" style="36" customWidth="1"/>
    <col min="31" max="31" width="8.625" style="36" customWidth="1"/>
    <col min="32" max="32" width="8.5" style="36" customWidth="1"/>
    <col min="33" max="33" width="9.625" style="36" customWidth="1"/>
    <col min="34" max="34" width="8.875" style="36" customWidth="1"/>
    <col min="35" max="35" width="7.625" style="36" customWidth="1"/>
    <col min="36" max="37" width="7.125" style="36" customWidth="1"/>
    <col min="38" max="38" width="8.125" style="36" customWidth="1"/>
    <col min="39" max="39" width="7.625" style="36" customWidth="1"/>
    <col min="40" max="16384" width="7.625" style="36"/>
  </cols>
  <sheetData>
    <row r="1" spans="2:30" customFormat="1" ht="14.25">
      <c r="Q1" s="6"/>
    </row>
    <row r="2" spans="2:30" s="33" customFormat="1" ht="20.100000000000001" customHeight="1">
      <c r="B2" s="32" t="s">
        <v>289</v>
      </c>
      <c r="Q2" s="34"/>
    </row>
    <row r="3" spans="2:30" customFormat="1" ht="14.25">
      <c r="Q3" s="6"/>
      <c r="Z3" s="36"/>
      <c r="AA3" s="36"/>
      <c r="AB3" s="36"/>
      <c r="AC3" s="36"/>
      <c r="AD3" s="36"/>
    </row>
    <row r="4" spans="2:30" ht="15.75" thickBot="1">
      <c r="B4" s="1" t="s">
        <v>290</v>
      </c>
      <c r="C4" s="35" t="s">
        <v>10</v>
      </c>
      <c r="E4" s="1" t="s">
        <v>291</v>
      </c>
      <c r="F4" s="1"/>
      <c r="G4" s="1"/>
      <c r="H4" s="1"/>
      <c r="I4" s="1"/>
      <c r="J4" s="1"/>
      <c r="N4" s="871"/>
      <c r="O4" s="871"/>
      <c r="P4" s="871"/>
      <c r="Q4" s="871"/>
      <c r="R4" s="871"/>
      <c r="S4" s="871"/>
      <c r="T4" s="871"/>
      <c r="U4" s="871"/>
    </row>
    <row r="5" spans="2:30" ht="15" customHeight="1" thickTop="1">
      <c r="B5" s="37"/>
      <c r="C5" s="38"/>
      <c r="E5" s="39"/>
      <c r="F5" s="822"/>
      <c r="G5" s="822"/>
      <c r="H5" s="822"/>
      <c r="I5" s="822"/>
      <c r="J5" s="822"/>
      <c r="K5" s="822"/>
      <c r="L5" s="822"/>
      <c r="N5" s="871"/>
      <c r="O5" s="871"/>
      <c r="P5" s="871"/>
      <c r="Q5" s="871"/>
      <c r="R5" s="871"/>
      <c r="S5" s="871"/>
      <c r="T5" s="871"/>
      <c r="U5" s="871"/>
    </row>
    <row r="6" spans="2:30" ht="41.1" customHeight="1" thickBot="1">
      <c r="B6" s="1" t="s">
        <v>292</v>
      </c>
      <c r="C6" s="36"/>
      <c r="E6" s="35" t="s">
        <v>293</v>
      </c>
      <c r="F6" s="820"/>
      <c r="G6" s="879" t="s">
        <v>294</v>
      </c>
      <c r="H6" s="879"/>
      <c r="I6" s="879"/>
      <c r="J6" s="879"/>
      <c r="K6" s="879"/>
      <c r="L6" s="879"/>
      <c r="N6" s="871"/>
      <c r="O6" s="871"/>
      <c r="P6" s="871"/>
      <c r="Q6" s="871"/>
      <c r="R6" s="871"/>
      <c r="S6" s="871"/>
      <c r="T6" s="871"/>
      <c r="U6" s="871"/>
    </row>
    <row r="7" spans="2:30" ht="15" customHeight="1" thickTop="1">
      <c r="B7" s="37" t="s">
        <v>295</v>
      </c>
      <c r="C7" s="40">
        <v>45768</v>
      </c>
      <c r="H7" s="819"/>
      <c r="I7" s="819"/>
      <c r="J7" s="819"/>
      <c r="K7" s="819"/>
      <c r="L7" s="819"/>
      <c r="N7" s="871"/>
      <c r="O7" s="871"/>
      <c r="P7" s="871"/>
      <c r="Q7" s="871"/>
      <c r="R7" s="871"/>
      <c r="S7" s="871"/>
      <c r="T7" s="871"/>
      <c r="U7" s="871"/>
    </row>
    <row r="8" spans="2:30" ht="14.25">
      <c r="B8" s="17" t="s">
        <v>296</v>
      </c>
      <c r="C8" s="31">
        <v>2024</v>
      </c>
      <c r="E8" s="880" t="s">
        <v>297</v>
      </c>
      <c r="F8" s="881" t="s">
        <v>298</v>
      </c>
      <c r="G8" s="881"/>
      <c r="H8" s="881"/>
      <c r="I8" s="881"/>
      <c r="J8" s="881"/>
      <c r="K8" s="881"/>
      <c r="L8" s="881"/>
      <c r="N8" s="871"/>
      <c r="O8" s="871"/>
      <c r="P8" s="871"/>
      <c r="Q8" s="871"/>
      <c r="R8" s="871"/>
      <c r="S8" s="871"/>
      <c r="T8" s="871"/>
      <c r="U8" s="871"/>
    </row>
    <row r="9" spans="2:30" ht="15" customHeight="1">
      <c r="B9" s="17" t="s">
        <v>299</v>
      </c>
      <c r="C9" s="18"/>
      <c r="E9" s="880"/>
      <c r="F9" s="881"/>
      <c r="G9" s="881"/>
      <c r="H9" s="881"/>
      <c r="I9" s="881"/>
      <c r="J9" s="881"/>
      <c r="K9" s="881"/>
      <c r="L9" s="881"/>
      <c r="N9" s="871"/>
      <c r="O9" s="871"/>
      <c r="P9" s="871"/>
      <c r="Q9" s="871"/>
      <c r="R9" s="871"/>
      <c r="S9" s="871"/>
      <c r="T9" s="871"/>
      <c r="U9" s="871"/>
    </row>
    <row r="10" spans="2:30" ht="14.1" customHeight="1">
      <c r="B10" s="17" t="s">
        <v>300</v>
      </c>
      <c r="C10" s="18"/>
      <c r="N10" s="871"/>
      <c r="O10" s="871"/>
      <c r="P10" s="871"/>
      <c r="Q10" s="871"/>
      <c r="R10" s="871"/>
      <c r="S10" s="871"/>
      <c r="T10" s="871"/>
      <c r="U10" s="871"/>
    </row>
    <row r="11" spans="2:30" ht="15" customHeight="1">
      <c r="B11" s="15" t="s">
        <v>301</v>
      </c>
      <c r="C11" s="648"/>
      <c r="E11" s="880" t="s">
        <v>302</v>
      </c>
      <c r="G11" s="893" t="s">
        <v>303</v>
      </c>
      <c r="H11" s="893"/>
      <c r="I11" s="893"/>
      <c r="J11" s="893"/>
      <c r="K11" s="893"/>
      <c r="L11" s="893"/>
      <c r="N11" s="871"/>
      <c r="O11" s="871"/>
      <c r="P11" s="871"/>
      <c r="Q11" s="871"/>
      <c r="R11" s="871"/>
      <c r="S11" s="871"/>
      <c r="T11" s="871"/>
      <c r="U11" s="871"/>
    </row>
    <row r="12" spans="2:30" ht="14.1" customHeight="1">
      <c r="B12" s="17"/>
      <c r="E12" s="880"/>
      <c r="G12" s="893"/>
      <c r="H12" s="893"/>
      <c r="I12" s="893"/>
      <c r="J12" s="893"/>
      <c r="K12" s="893"/>
      <c r="L12" s="893"/>
      <c r="N12" s="871"/>
      <c r="O12" s="871"/>
      <c r="P12" s="871"/>
      <c r="Q12" s="871"/>
      <c r="R12" s="871"/>
      <c r="S12" s="871"/>
      <c r="T12" s="871"/>
      <c r="U12" s="871"/>
    </row>
    <row r="13" spans="2:30" ht="15.75" thickBot="1">
      <c r="B13" s="1" t="s">
        <v>304</v>
      </c>
      <c r="C13" s="36"/>
      <c r="E13" s="15"/>
      <c r="G13" s="871"/>
      <c r="H13" s="871"/>
      <c r="I13" s="871"/>
      <c r="J13" s="871"/>
      <c r="K13" s="871"/>
      <c r="L13" s="871"/>
      <c r="N13" s="871"/>
      <c r="O13" s="871"/>
      <c r="P13" s="871"/>
      <c r="Q13" s="871"/>
      <c r="R13" s="871"/>
      <c r="S13" s="871"/>
      <c r="T13" s="871"/>
      <c r="U13" s="871"/>
    </row>
    <row r="14" spans="2:30" ht="15.75" thickTop="1">
      <c r="B14" s="39" t="s">
        <v>93</v>
      </c>
      <c r="C14" s="814">
        <v>32</v>
      </c>
      <c r="G14" s="871"/>
      <c r="H14" s="871"/>
      <c r="I14" s="871"/>
      <c r="J14" s="871"/>
      <c r="K14" s="871"/>
      <c r="L14" s="871"/>
      <c r="N14" s="871"/>
      <c r="O14" s="871"/>
      <c r="P14" s="871"/>
      <c r="Q14" s="871"/>
      <c r="R14" s="871"/>
      <c r="S14" s="871"/>
      <c r="T14" s="871"/>
      <c r="U14" s="871"/>
    </row>
    <row r="15" spans="2:30" ht="14.25">
      <c r="B15" s="17" t="s">
        <v>94</v>
      </c>
      <c r="C15" s="676">
        <v>0</v>
      </c>
    </row>
    <row r="16" spans="2:30" ht="15">
      <c r="B16" s="17" t="s">
        <v>95</v>
      </c>
      <c r="C16" s="676">
        <v>26</v>
      </c>
      <c r="E16" s="1"/>
      <c r="F16" s="1"/>
      <c r="G16" s="1"/>
      <c r="H16" s="1"/>
      <c r="I16" s="1"/>
      <c r="J16" s="1"/>
      <c r="N16" s="1"/>
      <c r="O16" s="1"/>
      <c r="P16" s="1"/>
      <c r="Q16" s="1"/>
      <c r="R16" s="1"/>
      <c r="S16" s="1"/>
    </row>
    <row r="17" spans="2:22" ht="14.25">
      <c r="B17" s="17" t="s">
        <v>96</v>
      </c>
      <c r="C17" s="676">
        <v>47</v>
      </c>
    </row>
    <row r="18" spans="2:22" ht="15">
      <c r="B18" s="15" t="s">
        <v>97</v>
      </c>
      <c r="C18" s="16" t="s">
        <v>255</v>
      </c>
    </row>
    <row r="19" spans="2:22" ht="15">
      <c r="B19" s="17" t="s">
        <v>98</v>
      </c>
      <c r="C19" s="815" t="s">
        <v>255</v>
      </c>
      <c r="E19" s="15"/>
      <c r="G19" s="871"/>
      <c r="H19" s="871"/>
      <c r="I19" s="871"/>
      <c r="J19" s="871"/>
      <c r="K19" s="871"/>
      <c r="L19" s="871"/>
      <c r="N19" s="15"/>
      <c r="P19" s="619"/>
      <c r="Q19" s="619"/>
      <c r="R19" s="619"/>
      <c r="S19" s="619"/>
      <c r="T19" s="619"/>
      <c r="U19" s="619"/>
      <c r="V19" s="619"/>
    </row>
    <row r="20" spans="2:22" ht="14.25">
      <c r="B20" s="17" t="s">
        <v>99</v>
      </c>
      <c r="C20" s="815" t="s">
        <v>255</v>
      </c>
      <c r="G20" s="871"/>
      <c r="H20" s="871"/>
      <c r="I20" s="871"/>
      <c r="J20" s="871"/>
      <c r="K20" s="871"/>
      <c r="L20" s="871"/>
      <c r="P20" s="619"/>
      <c r="Q20" s="619"/>
      <c r="R20" s="619"/>
      <c r="S20" s="619"/>
      <c r="T20" s="619"/>
      <c r="U20" s="619"/>
    </row>
    <row r="21" spans="2:22" ht="15">
      <c r="B21" s="17" t="s">
        <v>100</v>
      </c>
      <c r="C21" s="815" t="s">
        <v>255</v>
      </c>
      <c r="E21" s="15"/>
      <c r="G21" s="871"/>
      <c r="H21" s="871"/>
      <c r="I21" s="871"/>
      <c r="J21" s="871"/>
      <c r="K21" s="871"/>
      <c r="L21" s="871"/>
      <c r="N21" s="15"/>
      <c r="P21" s="871"/>
      <c r="Q21" s="871"/>
      <c r="R21" s="871"/>
      <c r="S21" s="871"/>
      <c r="T21" s="871"/>
      <c r="U21" s="871"/>
    </row>
    <row r="22" spans="2:22" ht="15">
      <c r="B22" s="15" t="s">
        <v>101</v>
      </c>
      <c r="C22" s="816">
        <v>20</v>
      </c>
      <c r="G22" s="871"/>
      <c r="H22" s="871"/>
      <c r="I22" s="871"/>
      <c r="J22" s="871"/>
      <c r="K22" s="871"/>
      <c r="L22" s="871"/>
      <c r="P22" s="871"/>
      <c r="Q22" s="871"/>
      <c r="R22" s="871"/>
      <c r="S22" s="871"/>
      <c r="T22" s="871"/>
      <c r="U22" s="871"/>
    </row>
    <row r="23" spans="2:22" ht="15">
      <c r="B23" s="15" t="s">
        <v>102</v>
      </c>
      <c r="C23" s="817" t="s">
        <v>305</v>
      </c>
      <c r="E23" s="15"/>
      <c r="G23" s="871"/>
      <c r="H23" s="871"/>
      <c r="I23" s="871"/>
      <c r="J23" s="871"/>
      <c r="K23" s="871"/>
      <c r="L23" s="871"/>
      <c r="N23" s="15"/>
      <c r="P23" s="871"/>
      <c r="Q23" s="871"/>
      <c r="R23" s="871"/>
      <c r="S23" s="871"/>
      <c r="T23" s="871"/>
      <c r="U23" s="871"/>
    </row>
    <row r="24" spans="2:22" ht="14.25">
      <c r="B24" s="17" t="s">
        <v>103</v>
      </c>
      <c r="C24" s="36">
        <v>-8.4</v>
      </c>
    </row>
    <row r="25" spans="2:22" ht="14.25">
      <c r="B25" s="17" t="s">
        <v>104</v>
      </c>
      <c r="C25" s="35">
        <v>8</v>
      </c>
    </row>
    <row r="26" spans="2:22" ht="15">
      <c r="B26" s="15" t="s">
        <v>105</v>
      </c>
      <c r="C26" s="818" t="s">
        <v>255</v>
      </c>
    </row>
    <row r="29" spans="2:22" ht="15.75" thickBot="1">
      <c r="B29" s="1" t="s">
        <v>306</v>
      </c>
      <c r="C29" s="813" t="s">
        <v>307</v>
      </c>
    </row>
    <row r="30" spans="2:22" ht="14.45" customHeight="1" thickTop="1">
      <c r="B30" s="892" t="s">
        <v>308</v>
      </c>
      <c r="C30" s="892"/>
    </row>
    <row r="31" spans="2:22">
      <c r="B31" s="879"/>
      <c r="C31" s="879"/>
    </row>
    <row r="32" spans="2:22">
      <c r="B32" s="879"/>
      <c r="C32" s="879"/>
    </row>
    <row r="33" spans="2:22" ht="15.75">
      <c r="B33" s="879"/>
      <c r="C33" s="879"/>
      <c r="E33" s="43" t="s">
        <v>309</v>
      </c>
      <c r="F33" s="43"/>
      <c r="G33" s="43"/>
      <c r="H33" s="43"/>
      <c r="I33" s="43"/>
      <c r="J33" s="43"/>
      <c r="K33" s="43"/>
      <c r="L33" s="43"/>
      <c r="M33" s="43"/>
      <c r="N33" s="43"/>
      <c r="O33" s="43"/>
      <c r="P33" s="43"/>
      <c r="Q33" s="43"/>
      <c r="R33" s="43"/>
      <c r="S33" s="43"/>
      <c r="T33" s="43"/>
      <c r="U33" s="43"/>
      <c r="V33" s="43"/>
    </row>
    <row r="34" spans="2:22" customFormat="1" ht="3.95" customHeight="1">
      <c r="B34" s="879"/>
      <c r="C34" s="879"/>
      <c r="D34" s="36"/>
      <c r="E34" s="44"/>
      <c r="F34" s="44"/>
      <c r="G34" s="44"/>
      <c r="H34" s="44"/>
      <c r="I34" s="44"/>
      <c r="J34" s="44"/>
      <c r="K34" s="44"/>
      <c r="L34" s="44"/>
      <c r="M34" s="44"/>
      <c r="N34" s="44"/>
      <c r="O34" s="44"/>
      <c r="P34" s="44"/>
      <c r="Q34" s="44"/>
      <c r="R34" s="44"/>
      <c r="S34" s="44"/>
      <c r="T34" s="44"/>
      <c r="U34" s="44"/>
      <c r="V34" s="44"/>
    </row>
    <row r="35" spans="2:22" ht="13.5" thickBot="1">
      <c r="B35" s="879"/>
      <c r="C35" s="879"/>
      <c r="E35" s="46" t="s">
        <v>310</v>
      </c>
      <c r="F35" s="45"/>
      <c r="G35" s="46"/>
      <c r="H35" s="46"/>
      <c r="I35" s="46"/>
      <c r="J35" s="46"/>
      <c r="K35" s="46"/>
      <c r="L35" s="46"/>
      <c r="M35" s="46"/>
      <c r="N35" s="46"/>
      <c r="O35" s="46"/>
      <c r="P35" s="45"/>
      <c r="Q35" s="45"/>
      <c r="R35" s="45"/>
      <c r="S35" s="45"/>
      <c r="T35" s="45"/>
      <c r="U35" s="45"/>
      <c r="V35" s="45"/>
    </row>
    <row r="36" spans="2:22" ht="20.25" customHeight="1" thickTop="1">
      <c r="B36" s="879"/>
      <c r="C36" s="879"/>
      <c r="E36" s="811" t="s">
        <v>311</v>
      </c>
      <c r="F36" s="811"/>
      <c r="G36" s="811"/>
      <c r="H36" s="811"/>
      <c r="I36" s="811"/>
      <c r="J36" s="811"/>
      <c r="K36" s="811"/>
      <c r="L36" s="811"/>
      <c r="M36" s="811"/>
      <c r="N36" s="811"/>
      <c r="O36" s="811"/>
      <c r="P36" s="811"/>
      <c r="Q36" s="811"/>
      <c r="R36" s="811"/>
      <c r="S36" s="811"/>
      <c r="T36" s="811"/>
      <c r="U36" s="811"/>
      <c r="V36" s="811"/>
    </row>
    <row r="37" spans="2:22" ht="20.25" customHeight="1">
      <c r="B37" s="879"/>
      <c r="C37" s="879"/>
      <c r="E37"/>
      <c r="F37"/>
      <c r="G37"/>
      <c r="H37"/>
      <c r="I37"/>
      <c r="J37"/>
      <c r="K37"/>
      <c r="L37"/>
      <c r="M37"/>
      <c r="N37"/>
      <c r="O37"/>
      <c r="P37"/>
      <c r="Q37"/>
      <c r="R37"/>
      <c r="S37"/>
      <c r="T37"/>
      <c r="U37"/>
      <c r="V37"/>
    </row>
    <row r="38" spans="2:22" ht="22.5" customHeight="1">
      <c r="B38" s="879"/>
      <c r="C38" s="879"/>
      <c r="E38" s="15"/>
      <c r="G38" s="886"/>
      <c r="H38" s="883"/>
      <c r="I38" s="883"/>
      <c r="J38" s="883"/>
      <c r="K38" s="883"/>
      <c r="L38" s="883"/>
      <c r="M38" s="883"/>
      <c r="N38" s="883"/>
      <c r="O38" s="886"/>
      <c r="P38" s="886"/>
      <c r="Q38" s="886"/>
      <c r="R38" s="886"/>
      <c r="S38" s="886"/>
      <c r="T38" s="886"/>
      <c r="U38" s="886"/>
      <c r="V38" s="886"/>
    </row>
    <row r="39" spans="2:22" ht="19.5" customHeight="1">
      <c r="B39" s="879"/>
      <c r="C39" s="879"/>
      <c r="G39" s="886"/>
      <c r="H39" s="883"/>
      <c r="I39" s="883"/>
      <c r="J39" s="883"/>
      <c r="K39" s="883"/>
      <c r="L39" s="883"/>
      <c r="M39" s="883"/>
      <c r="N39" s="883"/>
      <c r="O39" s="886"/>
      <c r="P39" s="886"/>
      <c r="Q39" s="886"/>
      <c r="R39" s="886"/>
      <c r="S39" s="886"/>
      <c r="T39" s="886"/>
      <c r="U39" s="886"/>
      <c r="V39" s="886"/>
    </row>
    <row r="40" spans="2:22" ht="15">
      <c r="B40" s="879"/>
      <c r="C40" s="879"/>
      <c r="E40" s="15"/>
      <c r="G40" s="886"/>
      <c r="H40" s="883"/>
      <c r="I40" s="883"/>
      <c r="J40" s="883"/>
      <c r="K40" s="883"/>
      <c r="L40" s="883"/>
      <c r="M40" s="883"/>
      <c r="N40" s="883"/>
      <c r="O40" s="886"/>
      <c r="P40" s="886"/>
      <c r="Q40" s="886"/>
      <c r="R40" s="886"/>
      <c r="S40" s="886"/>
      <c r="T40" s="886"/>
      <c r="U40" s="886"/>
      <c r="V40" s="886"/>
    </row>
    <row r="41" spans="2:22">
      <c r="B41" s="879"/>
      <c r="C41" s="879"/>
      <c r="G41" s="886"/>
      <c r="H41" s="883"/>
      <c r="I41" s="883"/>
      <c r="J41" s="883"/>
      <c r="K41" s="883"/>
      <c r="L41" s="883"/>
      <c r="M41" s="883"/>
      <c r="N41" s="883"/>
      <c r="O41" s="886"/>
      <c r="P41" s="886"/>
      <c r="Q41" s="886"/>
      <c r="R41" s="886"/>
      <c r="S41" s="886"/>
      <c r="T41" s="886"/>
      <c r="U41" s="886"/>
      <c r="V41" s="886"/>
    </row>
    <row r="42" spans="2:22" ht="15">
      <c r="B42" s="879"/>
      <c r="C42" s="879"/>
      <c r="E42" s="15"/>
      <c r="G42" s="886"/>
      <c r="H42" s="883"/>
      <c r="I42" s="883"/>
      <c r="J42" s="883"/>
      <c r="K42" s="883"/>
      <c r="L42" s="883"/>
      <c r="M42" s="883"/>
      <c r="N42" s="883"/>
      <c r="O42" s="886"/>
      <c r="P42" s="886"/>
      <c r="Q42" s="886"/>
      <c r="R42" s="886"/>
      <c r="S42" s="886"/>
      <c r="T42" s="886"/>
      <c r="U42" s="886"/>
      <c r="V42" s="886"/>
    </row>
    <row r="43" spans="2:22">
      <c r="B43" s="879"/>
      <c r="C43" s="879"/>
      <c r="G43" s="886"/>
      <c r="H43" s="883"/>
      <c r="I43" s="883"/>
      <c r="J43" s="883"/>
      <c r="K43" s="883"/>
      <c r="L43" s="883"/>
      <c r="M43" s="883"/>
      <c r="N43" s="883"/>
      <c r="O43" s="886"/>
      <c r="P43" s="886"/>
      <c r="Q43" s="886"/>
      <c r="R43" s="886"/>
      <c r="S43" s="886"/>
      <c r="T43" s="886"/>
      <c r="U43" s="886"/>
      <c r="V43" s="886"/>
    </row>
    <row r="44" spans="2:22" ht="15">
      <c r="B44" s="879"/>
      <c r="C44" s="879"/>
      <c r="E44" s="15"/>
      <c r="G44" s="886"/>
      <c r="H44" s="883"/>
      <c r="I44" s="883"/>
      <c r="J44" s="883"/>
      <c r="K44" s="883"/>
      <c r="L44" s="883"/>
      <c r="M44" s="883"/>
      <c r="N44" s="883"/>
      <c r="O44" s="883"/>
      <c r="P44" s="883"/>
      <c r="Q44" s="883"/>
      <c r="R44" s="883"/>
      <c r="S44" s="883"/>
      <c r="T44" s="883"/>
      <c r="U44" s="883"/>
      <c r="V44" s="883"/>
    </row>
    <row r="45" spans="2:22">
      <c r="B45" s="879"/>
      <c r="C45" s="879"/>
      <c r="G45" s="886"/>
      <c r="H45" s="883"/>
      <c r="I45" s="883"/>
      <c r="J45" s="883"/>
      <c r="K45" s="883"/>
      <c r="L45" s="883"/>
      <c r="M45" s="883"/>
      <c r="N45" s="883"/>
      <c r="O45" s="883"/>
      <c r="P45" s="883"/>
      <c r="Q45" s="883"/>
      <c r="R45" s="883"/>
      <c r="S45" s="883"/>
      <c r="T45" s="883"/>
      <c r="U45" s="883"/>
      <c r="V45" s="883"/>
    </row>
    <row r="46" spans="2:22" ht="15.75">
      <c r="E46" s="43" t="s">
        <v>312</v>
      </c>
      <c r="F46" s="43"/>
      <c r="G46" s="43"/>
      <c r="H46" s="43"/>
      <c r="I46" s="43"/>
      <c r="J46" s="43"/>
      <c r="K46" s="43"/>
      <c r="L46" s="43"/>
      <c r="M46" s="43"/>
      <c r="N46" s="43"/>
      <c r="O46" s="43"/>
      <c r="P46" s="43"/>
      <c r="Q46" s="43"/>
      <c r="R46" s="43"/>
      <c r="S46" s="43"/>
      <c r="T46" s="43"/>
      <c r="U46" s="43"/>
      <c r="V46" s="43"/>
    </row>
    <row r="47" spans="2:22" customFormat="1" ht="3.95" customHeight="1">
      <c r="B47" s="36"/>
      <c r="C47" s="35"/>
      <c r="D47" s="36"/>
      <c r="E47" s="44"/>
      <c r="F47" s="44"/>
      <c r="G47" s="44"/>
      <c r="H47" s="44"/>
      <c r="I47" s="44"/>
      <c r="J47" s="44"/>
      <c r="K47" s="44"/>
      <c r="L47" s="44"/>
      <c r="M47" s="44"/>
      <c r="N47" s="44"/>
      <c r="O47" s="44"/>
      <c r="P47" s="44"/>
      <c r="Q47" s="44"/>
      <c r="R47" s="44"/>
      <c r="S47" s="44"/>
      <c r="T47" s="44"/>
      <c r="U47" s="44"/>
      <c r="V47" s="44"/>
    </row>
    <row r="48" spans="2:22" ht="15.75" thickBot="1">
      <c r="B48" s="1" t="s">
        <v>313</v>
      </c>
      <c r="C48" s="36"/>
      <c r="E48" s="45"/>
      <c r="F48" s="45"/>
      <c r="G48" s="46" t="s">
        <v>292</v>
      </c>
      <c r="H48" s="46" t="s">
        <v>314</v>
      </c>
      <c r="I48" s="46"/>
      <c r="J48" s="46"/>
      <c r="K48" s="46" t="s">
        <v>315</v>
      </c>
      <c r="L48" s="46"/>
      <c r="M48" s="46"/>
      <c r="N48" s="46"/>
      <c r="O48" s="46" t="s">
        <v>310</v>
      </c>
      <c r="P48" s="45"/>
      <c r="Q48" s="45"/>
      <c r="R48" s="45"/>
      <c r="S48" s="45"/>
      <c r="T48" s="45"/>
      <c r="U48" s="45"/>
      <c r="V48" s="45"/>
    </row>
    <row r="49" spans="2:22" ht="27.75" customHeight="1" thickTop="1" thickBot="1">
      <c r="B49" s="37" t="s">
        <v>316</v>
      </c>
      <c r="C49" s="810" t="s">
        <v>317</v>
      </c>
      <c r="E49" s="15" t="s">
        <v>318</v>
      </c>
      <c r="G49" s="882"/>
      <c r="H49" s="883" t="s">
        <v>255</v>
      </c>
      <c r="I49" s="883"/>
      <c r="J49" s="883"/>
      <c r="K49" s="883" t="s">
        <v>255</v>
      </c>
      <c r="L49" s="883"/>
      <c r="M49" s="883"/>
      <c r="N49" s="883"/>
      <c r="O49" s="883" t="s">
        <v>319</v>
      </c>
      <c r="P49" s="883"/>
      <c r="Q49" s="883"/>
      <c r="R49" s="883"/>
      <c r="S49" s="883"/>
      <c r="T49" s="883"/>
      <c r="U49" s="883"/>
      <c r="V49" s="883"/>
    </row>
    <row r="50" spans="2:22" ht="27.75" customHeight="1" thickTop="1">
      <c r="B50" s="17" t="s">
        <v>320</v>
      </c>
      <c r="C50" s="812" t="s">
        <v>255</v>
      </c>
      <c r="G50" s="882"/>
      <c r="H50" s="884"/>
      <c r="I50" s="884"/>
      <c r="J50" s="884"/>
      <c r="K50" s="884"/>
      <c r="L50" s="884"/>
      <c r="M50" s="884"/>
      <c r="N50" s="884"/>
      <c r="O50" s="883"/>
      <c r="P50" s="883"/>
      <c r="Q50" s="883"/>
      <c r="R50" s="883"/>
      <c r="S50" s="883"/>
      <c r="T50" s="883"/>
      <c r="U50" s="883"/>
      <c r="V50" s="883"/>
    </row>
    <row r="51" spans="2:22" ht="15.75" thickBot="1">
      <c r="B51" s="17" t="s">
        <v>321</v>
      </c>
      <c r="C51" s="51" t="s">
        <v>322</v>
      </c>
      <c r="E51" s="15" t="s">
        <v>323</v>
      </c>
      <c r="G51" s="882"/>
      <c r="H51" s="883" t="s">
        <v>255</v>
      </c>
      <c r="I51" s="883"/>
      <c r="J51" s="883"/>
      <c r="K51" s="883" t="s">
        <v>255</v>
      </c>
      <c r="L51" s="883"/>
      <c r="M51" s="883"/>
      <c r="N51" s="883"/>
      <c r="O51" s="883" t="s">
        <v>324</v>
      </c>
      <c r="P51" s="883"/>
      <c r="Q51" s="883"/>
      <c r="R51" s="883"/>
      <c r="S51" s="883"/>
      <c r="T51" s="883"/>
      <c r="U51" s="883"/>
      <c r="V51" s="883"/>
    </row>
    <row r="52" spans="2:22" ht="15.75" thickTop="1">
      <c r="E52" s="15"/>
      <c r="G52" s="882"/>
      <c r="H52" s="884"/>
      <c r="I52" s="884"/>
      <c r="J52" s="884"/>
      <c r="K52" s="884"/>
      <c r="L52" s="884"/>
      <c r="M52" s="884"/>
      <c r="N52" s="884"/>
      <c r="O52" s="883"/>
      <c r="P52" s="883"/>
      <c r="Q52" s="883"/>
      <c r="R52" s="883"/>
      <c r="S52" s="883"/>
      <c r="T52" s="883"/>
      <c r="U52" s="883"/>
      <c r="V52" s="883"/>
    </row>
    <row r="53" spans="2:22" ht="33" customHeight="1" thickBot="1">
      <c r="E53" s="15" t="s">
        <v>325</v>
      </c>
      <c r="G53" s="885"/>
      <c r="H53" s="883" t="s">
        <v>255</v>
      </c>
      <c r="I53" s="883"/>
      <c r="J53" s="883"/>
      <c r="K53" s="883" t="s">
        <v>255</v>
      </c>
      <c r="L53" s="883"/>
      <c r="M53" s="883"/>
      <c r="N53" s="883"/>
      <c r="O53" s="891" t="s">
        <v>326</v>
      </c>
      <c r="P53" s="891"/>
      <c r="Q53" s="891"/>
      <c r="R53" s="891"/>
      <c r="S53" s="891"/>
      <c r="T53" s="891"/>
      <c r="U53" s="891"/>
      <c r="V53" s="891"/>
    </row>
    <row r="54" spans="2:22" ht="26.1" customHeight="1" thickTop="1">
      <c r="G54" s="885"/>
      <c r="H54" s="884"/>
      <c r="I54" s="884"/>
      <c r="J54" s="884"/>
      <c r="K54" s="884"/>
      <c r="L54" s="884"/>
      <c r="M54" s="884"/>
      <c r="N54" s="884"/>
      <c r="O54" s="891"/>
      <c r="P54" s="891"/>
      <c r="Q54" s="891"/>
      <c r="R54" s="891"/>
      <c r="S54" s="891"/>
      <c r="T54" s="891"/>
      <c r="U54" s="891"/>
      <c r="V54" s="891"/>
    </row>
    <row r="55" spans="2:22" ht="15.75">
      <c r="E55" s="43" t="s">
        <v>327</v>
      </c>
      <c r="F55" s="43"/>
      <c r="G55" s="43"/>
      <c r="H55" s="43"/>
      <c r="I55" s="43"/>
      <c r="J55" s="43"/>
      <c r="K55" s="43"/>
      <c r="L55" s="43"/>
      <c r="M55" s="43"/>
      <c r="N55" s="43"/>
      <c r="O55" s="43"/>
      <c r="P55" s="43"/>
      <c r="Q55" s="43"/>
      <c r="R55" s="43"/>
      <c r="S55" s="43"/>
      <c r="T55" s="43"/>
      <c r="U55" s="43"/>
      <c r="V55" s="43"/>
    </row>
    <row r="56" spans="2:22" customFormat="1" ht="3.95" customHeight="1">
      <c r="B56" s="36"/>
      <c r="C56" s="35"/>
      <c r="D56" s="36"/>
      <c r="E56" s="44"/>
      <c r="F56" s="44"/>
      <c r="G56" s="44"/>
      <c r="H56" s="44"/>
      <c r="I56" s="44"/>
      <c r="J56" s="44"/>
      <c r="K56" s="44"/>
      <c r="L56" s="44"/>
      <c r="M56" s="44"/>
      <c r="N56" s="44"/>
      <c r="O56" s="44"/>
      <c r="P56" s="44"/>
      <c r="Q56" s="44"/>
      <c r="R56" s="44"/>
      <c r="S56" s="44"/>
      <c r="T56" s="44"/>
      <c r="U56" s="44"/>
      <c r="V56" s="44"/>
    </row>
    <row r="57" spans="2:22" ht="13.5" thickBot="1">
      <c r="E57" s="45"/>
      <c r="F57" s="45"/>
      <c r="G57" s="46" t="s">
        <v>292</v>
      </c>
      <c r="H57" s="46" t="s">
        <v>314</v>
      </c>
      <c r="I57" s="46"/>
      <c r="J57" s="46"/>
      <c r="K57" s="46" t="s">
        <v>315</v>
      </c>
      <c r="L57" s="46"/>
      <c r="M57" s="46"/>
      <c r="N57" s="46"/>
      <c r="O57" s="46" t="s">
        <v>310</v>
      </c>
      <c r="P57" s="45"/>
      <c r="Q57" s="45"/>
      <c r="R57" s="45"/>
      <c r="S57" s="45"/>
      <c r="T57" s="45"/>
      <c r="U57" s="45"/>
      <c r="V57" s="45"/>
    </row>
    <row r="58" spans="2:22" ht="25.5" customHeight="1" thickTop="1">
      <c r="E58" s="15" t="s">
        <v>328</v>
      </c>
      <c r="G58" s="890"/>
      <c r="H58" s="884" t="s">
        <v>255</v>
      </c>
      <c r="I58" s="884"/>
      <c r="J58" s="884"/>
      <c r="K58" s="884" t="s">
        <v>255</v>
      </c>
      <c r="L58" s="884"/>
      <c r="M58" s="884"/>
      <c r="N58" s="884"/>
      <c r="O58" s="884" t="s">
        <v>329</v>
      </c>
      <c r="P58" s="884"/>
      <c r="Q58" s="884"/>
      <c r="R58" s="884"/>
      <c r="S58" s="884"/>
      <c r="T58" s="884"/>
      <c r="U58" s="884"/>
      <c r="V58" s="884"/>
    </row>
    <row r="59" spans="2:22" ht="25.5" customHeight="1">
      <c r="G59" s="885"/>
      <c r="H59" s="883"/>
      <c r="I59" s="883"/>
      <c r="J59" s="883"/>
      <c r="K59" s="883"/>
      <c r="L59" s="883"/>
      <c r="M59" s="883"/>
      <c r="N59" s="883"/>
      <c r="O59" s="883"/>
      <c r="P59" s="883"/>
      <c r="Q59" s="883"/>
      <c r="R59" s="883"/>
      <c r="S59" s="883"/>
      <c r="T59" s="883"/>
      <c r="U59" s="883"/>
      <c r="V59" s="883"/>
    </row>
    <row r="60" spans="2:22" ht="14.1" customHeight="1">
      <c r="E60" s="15" t="s">
        <v>330</v>
      </c>
      <c r="G60" s="882"/>
      <c r="H60" s="883" t="s">
        <v>255</v>
      </c>
      <c r="I60" s="883"/>
      <c r="J60" s="883"/>
      <c r="K60" s="883" t="s">
        <v>255</v>
      </c>
      <c r="L60" s="883"/>
      <c r="M60" s="883"/>
      <c r="N60" s="883"/>
      <c r="O60" s="886" t="s">
        <v>331</v>
      </c>
      <c r="P60" s="886"/>
      <c r="Q60" s="886"/>
      <c r="R60" s="886"/>
      <c r="S60" s="886"/>
      <c r="T60" s="886"/>
      <c r="U60" s="886"/>
      <c r="V60" s="886"/>
    </row>
    <row r="61" spans="2:22" ht="12.6" customHeight="1">
      <c r="G61" s="882"/>
      <c r="H61" s="883"/>
      <c r="I61" s="883"/>
      <c r="J61" s="883"/>
      <c r="K61" s="883"/>
      <c r="L61" s="883"/>
      <c r="M61" s="883"/>
      <c r="N61" s="883"/>
      <c r="O61" s="886"/>
      <c r="P61" s="886"/>
      <c r="Q61" s="886"/>
      <c r="R61" s="886"/>
      <c r="S61" s="886"/>
      <c r="T61" s="886"/>
      <c r="U61" s="886"/>
      <c r="V61" s="886"/>
    </row>
    <row r="62" spans="2:22" ht="14.1" customHeight="1">
      <c r="E62" s="15" t="s">
        <v>332</v>
      </c>
      <c r="G62" s="886"/>
      <c r="H62" s="883" t="s">
        <v>255</v>
      </c>
      <c r="I62" s="883"/>
      <c r="J62" s="883"/>
      <c r="K62" s="883" t="s">
        <v>255</v>
      </c>
      <c r="L62" s="883"/>
      <c r="M62" s="883"/>
      <c r="N62" s="883"/>
      <c r="O62" s="886" t="s">
        <v>255</v>
      </c>
      <c r="P62" s="886"/>
      <c r="Q62" s="886"/>
      <c r="R62" s="886"/>
      <c r="S62" s="886"/>
      <c r="T62" s="886"/>
      <c r="U62" s="886"/>
      <c r="V62" s="886"/>
    </row>
    <row r="63" spans="2:22" ht="12.6" customHeight="1">
      <c r="G63" s="886"/>
      <c r="H63" s="883"/>
      <c r="I63" s="883"/>
      <c r="J63" s="883"/>
      <c r="K63" s="883"/>
      <c r="L63" s="883"/>
      <c r="M63" s="883"/>
      <c r="N63" s="883"/>
      <c r="O63" s="886"/>
      <c r="P63" s="886"/>
      <c r="Q63" s="886"/>
      <c r="R63" s="886"/>
      <c r="S63" s="886"/>
      <c r="T63" s="886"/>
      <c r="U63" s="886"/>
      <c r="V63" s="886"/>
    </row>
    <row r="64" spans="2:22" ht="14.1" customHeight="1">
      <c r="E64" s="15" t="s">
        <v>333</v>
      </c>
      <c r="G64" s="888"/>
      <c r="H64" s="883" t="s">
        <v>255</v>
      </c>
      <c r="I64" s="883"/>
      <c r="J64" s="883"/>
      <c r="K64" s="883" t="s">
        <v>255</v>
      </c>
      <c r="L64" s="883"/>
      <c r="M64" s="883"/>
      <c r="N64" s="883"/>
      <c r="O64" s="883" t="s">
        <v>334</v>
      </c>
      <c r="P64" s="883"/>
      <c r="Q64" s="883"/>
      <c r="R64" s="883"/>
      <c r="S64" s="883"/>
      <c r="T64" s="883"/>
      <c r="U64" s="883"/>
      <c r="V64" s="883"/>
    </row>
    <row r="65" spans="5:22" ht="35.1" customHeight="1">
      <c r="G65" s="888"/>
      <c r="H65" s="883"/>
      <c r="I65" s="883"/>
      <c r="J65" s="883"/>
      <c r="K65" s="883"/>
      <c r="L65" s="883"/>
      <c r="M65" s="883"/>
      <c r="N65" s="883"/>
      <c r="O65" s="883"/>
      <c r="P65" s="883"/>
      <c r="Q65" s="883"/>
      <c r="R65" s="883"/>
      <c r="S65" s="883"/>
      <c r="T65" s="883"/>
      <c r="U65" s="883"/>
      <c r="V65" s="883"/>
    </row>
    <row r="66" spans="5:22" ht="15">
      <c r="E66" s="15" t="s">
        <v>335</v>
      </c>
      <c r="G66" s="889"/>
      <c r="H66" s="883" t="s">
        <v>255</v>
      </c>
      <c r="I66" s="883"/>
      <c r="J66" s="883"/>
      <c r="K66" s="883" t="s">
        <v>255</v>
      </c>
      <c r="L66" s="883"/>
      <c r="M66" s="883"/>
      <c r="N66" s="883"/>
      <c r="O66" s="883" t="s">
        <v>336</v>
      </c>
      <c r="P66" s="883"/>
      <c r="Q66" s="883"/>
      <c r="R66" s="883"/>
      <c r="S66" s="883"/>
      <c r="T66" s="883"/>
      <c r="U66" s="883"/>
      <c r="V66" s="883"/>
    </row>
    <row r="67" spans="5:22" ht="33" customHeight="1">
      <c r="G67" s="889"/>
      <c r="H67" s="883"/>
      <c r="I67" s="883"/>
      <c r="J67" s="883"/>
      <c r="K67" s="883"/>
      <c r="L67" s="883"/>
      <c r="M67" s="883"/>
      <c r="N67" s="883"/>
      <c r="O67" s="883"/>
      <c r="P67" s="883"/>
      <c r="Q67" s="883"/>
      <c r="R67" s="883"/>
      <c r="S67" s="883"/>
      <c r="T67" s="883"/>
      <c r="U67" s="883"/>
      <c r="V67" s="883"/>
    </row>
    <row r="68" spans="5:22" ht="14.1" customHeight="1">
      <c r="E68" s="15" t="s">
        <v>337</v>
      </c>
      <c r="G68" s="882"/>
      <c r="H68" s="883" t="s">
        <v>255</v>
      </c>
      <c r="I68" s="883"/>
      <c r="J68" s="883"/>
      <c r="K68" s="883" t="s">
        <v>255</v>
      </c>
      <c r="L68" s="883"/>
      <c r="M68" s="883"/>
      <c r="N68" s="883"/>
      <c r="O68" s="883" t="s">
        <v>338</v>
      </c>
      <c r="P68" s="883"/>
      <c r="Q68" s="883"/>
      <c r="R68" s="883"/>
      <c r="S68" s="883"/>
      <c r="T68" s="883"/>
      <c r="U68" s="883"/>
      <c r="V68" s="883"/>
    </row>
    <row r="69" spans="5:22" ht="12.6" customHeight="1">
      <c r="G69" s="882"/>
      <c r="H69" s="883"/>
      <c r="I69" s="883"/>
      <c r="J69" s="883"/>
      <c r="K69" s="883"/>
      <c r="L69" s="883"/>
      <c r="M69" s="883"/>
      <c r="N69" s="883"/>
      <c r="O69" s="883"/>
      <c r="P69" s="883"/>
      <c r="Q69" s="883"/>
      <c r="R69" s="883"/>
      <c r="S69" s="883"/>
      <c r="T69" s="883"/>
      <c r="U69" s="883"/>
      <c r="V69" s="883"/>
    </row>
    <row r="70" spans="5:22" ht="14.1" customHeight="1">
      <c r="E70" s="15" t="s">
        <v>339</v>
      </c>
      <c r="G70" s="887"/>
      <c r="H70" s="883" t="s">
        <v>255</v>
      </c>
      <c r="I70" s="883"/>
      <c r="J70" s="883"/>
      <c r="K70" s="883" t="s">
        <v>255</v>
      </c>
      <c r="L70" s="883"/>
      <c r="M70" s="883"/>
      <c r="N70" s="883"/>
      <c r="O70" s="886" t="s">
        <v>340</v>
      </c>
      <c r="P70" s="886"/>
      <c r="Q70" s="886"/>
      <c r="R70" s="886"/>
      <c r="S70" s="886"/>
      <c r="T70" s="886"/>
      <c r="U70" s="886"/>
      <c r="V70" s="886"/>
    </row>
    <row r="71" spans="5:22" ht="12.6" customHeight="1">
      <c r="G71" s="887"/>
      <c r="H71" s="883"/>
      <c r="I71" s="883"/>
      <c r="J71" s="883"/>
      <c r="K71" s="883"/>
      <c r="L71" s="883"/>
      <c r="M71" s="883"/>
      <c r="N71" s="883"/>
      <c r="O71" s="886"/>
      <c r="P71" s="886"/>
      <c r="Q71" s="886"/>
      <c r="R71" s="886"/>
      <c r="S71" s="886"/>
      <c r="T71" s="886"/>
      <c r="U71" s="886"/>
      <c r="V71" s="886"/>
    </row>
    <row r="72" spans="5:22" ht="14.1" customHeight="1">
      <c r="E72" s="15" t="s">
        <v>341</v>
      </c>
      <c r="G72" s="888"/>
      <c r="H72" s="883" t="s">
        <v>255</v>
      </c>
      <c r="I72" s="883"/>
      <c r="J72" s="883"/>
      <c r="K72" s="883" t="s">
        <v>255</v>
      </c>
      <c r="L72" s="883"/>
      <c r="M72" s="883"/>
      <c r="N72" s="883"/>
      <c r="O72" s="883" t="s">
        <v>342</v>
      </c>
      <c r="P72" s="883"/>
      <c r="Q72" s="883"/>
      <c r="R72" s="883"/>
      <c r="S72" s="883"/>
      <c r="T72" s="883"/>
      <c r="U72" s="883"/>
      <c r="V72" s="883"/>
    </row>
    <row r="73" spans="5:22" ht="13.35" customHeight="1">
      <c r="E73" s="15"/>
      <c r="G73" s="888"/>
      <c r="H73" s="883"/>
      <c r="I73" s="883"/>
      <c r="J73" s="883"/>
      <c r="K73" s="883"/>
      <c r="L73" s="883"/>
      <c r="M73" s="883"/>
      <c r="N73" s="883"/>
      <c r="O73" s="883"/>
      <c r="P73" s="883"/>
      <c r="Q73" s="883"/>
      <c r="R73" s="883"/>
      <c r="S73" s="883"/>
      <c r="T73" s="883"/>
      <c r="U73" s="883"/>
      <c r="V73" s="883"/>
    </row>
    <row r="74" spans="5:22" ht="39.950000000000003" customHeight="1">
      <c r="E74" s="15" t="s">
        <v>343</v>
      </c>
      <c r="G74" s="885"/>
      <c r="H74" s="883" t="s">
        <v>255</v>
      </c>
      <c r="I74" s="883"/>
      <c r="J74" s="883"/>
      <c r="K74" s="883" t="s">
        <v>255</v>
      </c>
      <c r="L74" s="883"/>
      <c r="M74" s="883"/>
      <c r="N74" s="883"/>
      <c r="O74" s="883" t="s">
        <v>344</v>
      </c>
      <c r="P74" s="883"/>
      <c r="Q74" s="883"/>
      <c r="R74" s="883"/>
      <c r="S74" s="883"/>
      <c r="T74" s="883"/>
      <c r="U74" s="883"/>
      <c r="V74" s="883"/>
    </row>
    <row r="75" spans="5:22" ht="24" customHeight="1">
      <c r="E75" s="15"/>
      <c r="G75" s="885"/>
      <c r="H75" s="883"/>
      <c r="I75" s="883"/>
      <c r="J75" s="883"/>
      <c r="K75" s="883"/>
      <c r="L75" s="883"/>
      <c r="M75" s="883"/>
      <c r="N75" s="883"/>
      <c r="O75" s="883"/>
      <c r="P75" s="883"/>
      <c r="Q75" s="883"/>
      <c r="R75" s="883"/>
      <c r="S75" s="883"/>
      <c r="T75" s="883"/>
      <c r="U75" s="883"/>
      <c r="V75" s="883"/>
    </row>
    <row r="76" spans="5:22" ht="14.1" customHeight="1">
      <c r="E76" s="15" t="s">
        <v>345</v>
      </c>
      <c r="G76" s="886"/>
      <c r="H76" s="883" t="s">
        <v>255</v>
      </c>
      <c r="I76" s="883"/>
      <c r="J76" s="883"/>
      <c r="K76" s="883" t="s">
        <v>255</v>
      </c>
      <c r="L76" s="883"/>
      <c r="M76" s="883"/>
      <c r="N76" s="883"/>
      <c r="O76" s="886" t="s">
        <v>255</v>
      </c>
      <c r="P76" s="886"/>
      <c r="Q76" s="886"/>
      <c r="R76" s="886"/>
      <c r="S76" s="886"/>
      <c r="T76" s="886"/>
      <c r="U76" s="886"/>
      <c r="V76" s="886"/>
    </row>
    <row r="77" spans="5:22" ht="12.6" customHeight="1">
      <c r="G77" s="886"/>
      <c r="H77" s="883"/>
      <c r="I77" s="883"/>
      <c r="J77" s="883"/>
      <c r="K77" s="883"/>
      <c r="L77" s="883"/>
      <c r="M77" s="883"/>
      <c r="N77" s="883"/>
      <c r="O77" s="886"/>
      <c r="P77" s="886"/>
      <c r="Q77" s="886"/>
      <c r="R77" s="886"/>
      <c r="S77" s="886"/>
      <c r="T77" s="886"/>
      <c r="U77" s="886"/>
      <c r="V77" s="886"/>
    </row>
    <row r="78" spans="5:22" ht="14.1" customHeight="1">
      <c r="E78" s="15" t="s">
        <v>346</v>
      </c>
      <c r="G78" s="885"/>
      <c r="H78" s="883" t="s">
        <v>255</v>
      </c>
      <c r="I78" s="883"/>
      <c r="J78" s="883"/>
      <c r="K78" s="883" t="s">
        <v>255</v>
      </c>
      <c r="L78" s="883"/>
      <c r="M78" s="883"/>
      <c r="N78" s="883"/>
      <c r="O78" s="883" t="s">
        <v>347</v>
      </c>
      <c r="P78" s="883"/>
      <c r="Q78" s="883"/>
      <c r="R78" s="883"/>
      <c r="S78" s="883"/>
      <c r="T78" s="883"/>
      <c r="U78" s="883"/>
      <c r="V78" s="883"/>
    </row>
    <row r="79" spans="5:22" ht="12.6" customHeight="1">
      <c r="G79" s="885"/>
      <c r="H79" s="883"/>
      <c r="I79" s="883"/>
      <c r="J79" s="883"/>
      <c r="K79" s="883"/>
      <c r="L79" s="883"/>
      <c r="M79" s="883"/>
      <c r="N79" s="883"/>
      <c r="O79" s="883"/>
      <c r="P79" s="883"/>
      <c r="Q79" s="883"/>
      <c r="R79" s="883"/>
      <c r="S79" s="883"/>
      <c r="T79" s="883"/>
      <c r="U79" s="883"/>
      <c r="V79" s="883"/>
    </row>
    <row r="84" spans="8:8" ht="18" customHeight="1"/>
    <row r="85" spans="8:8" ht="18" customHeight="1"/>
    <row r="86" spans="8:8" ht="35.1" customHeight="1"/>
    <row r="87" spans="8:8" ht="35.1" customHeight="1"/>
    <row r="88" spans="8:8" ht="35.1" customHeight="1"/>
    <row r="89" spans="8:8" ht="35.1" customHeight="1"/>
    <row r="90" spans="8:8" ht="35.1" customHeight="1"/>
    <row r="91" spans="8:8" ht="50.1" customHeight="1"/>
    <row r="92" spans="8:8" ht="35.1" customHeight="1"/>
    <row r="93" spans="8:8" ht="35.1" customHeight="1"/>
    <row r="94" spans="8:8" ht="35.1" customHeight="1"/>
    <row r="95" spans="8:8" ht="35.1" customHeight="1">
      <c r="H95" s="821"/>
    </row>
    <row r="96" spans="8:8" ht="35.1" customHeight="1">
      <c r="H96" s="821"/>
    </row>
    <row r="97" spans="8:8" ht="35.1" customHeight="1">
      <c r="H97" s="821"/>
    </row>
    <row r="98" spans="8:8" ht="35.1" customHeight="1">
      <c r="H98" s="821"/>
    </row>
    <row r="99" spans="8:8" ht="35.1" customHeight="1">
      <c r="H99" s="821"/>
    </row>
  </sheetData>
  <mergeCells count="96">
    <mergeCell ref="P23:U23"/>
    <mergeCell ref="P21:U22"/>
    <mergeCell ref="G11:L12"/>
    <mergeCell ref="G13:L14"/>
    <mergeCell ref="N10:S11"/>
    <mergeCell ref="T10:U11"/>
    <mergeCell ref="N12:S13"/>
    <mergeCell ref="T12:U13"/>
    <mergeCell ref="N14:S14"/>
    <mergeCell ref="T14:U14"/>
    <mergeCell ref="B30:C45"/>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O42:V43"/>
    <mergeCell ref="O51:V52"/>
    <mergeCell ref="G53:G54"/>
    <mergeCell ref="O53:V54"/>
    <mergeCell ref="G49:G50"/>
    <mergeCell ref="H49:J50"/>
    <mergeCell ref="K49:N50"/>
    <mergeCell ref="O49:V50"/>
    <mergeCell ref="K53:N54"/>
    <mergeCell ref="H53:J54"/>
    <mergeCell ref="G58:G59"/>
    <mergeCell ref="H58:J59"/>
    <mergeCell ref="K58:N59"/>
    <mergeCell ref="O58:V59"/>
    <mergeCell ref="G60:G61"/>
    <mergeCell ref="H60:J61"/>
    <mergeCell ref="K60:N61"/>
    <mergeCell ref="O60:V61"/>
    <mergeCell ref="G62:G63"/>
    <mergeCell ref="H62:J63"/>
    <mergeCell ref="K62:N63"/>
    <mergeCell ref="O62:V63"/>
    <mergeCell ref="G64:G65"/>
    <mergeCell ref="H64:J65"/>
    <mergeCell ref="K64:N65"/>
    <mergeCell ref="O64:V65"/>
    <mergeCell ref="G66:G67"/>
    <mergeCell ref="H66:J67"/>
    <mergeCell ref="K66:N67"/>
    <mergeCell ref="O66:V67"/>
    <mergeCell ref="G68:G69"/>
    <mergeCell ref="H68:J69"/>
    <mergeCell ref="K68:N69"/>
    <mergeCell ref="O68:V69"/>
    <mergeCell ref="G70:G71"/>
    <mergeCell ref="H70:J71"/>
    <mergeCell ref="K70:N71"/>
    <mergeCell ref="O70:V71"/>
    <mergeCell ref="G72:G73"/>
    <mergeCell ref="H72:J73"/>
    <mergeCell ref="K72:N73"/>
    <mergeCell ref="O72:V73"/>
    <mergeCell ref="G78:G79"/>
    <mergeCell ref="H78:J79"/>
    <mergeCell ref="K78:N79"/>
    <mergeCell ref="O78:V79"/>
    <mergeCell ref="G74:G75"/>
    <mergeCell ref="H74:J75"/>
    <mergeCell ref="K74:N75"/>
    <mergeCell ref="O74:V75"/>
    <mergeCell ref="G76:G77"/>
    <mergeCell ref="H76:J77"/>
    <mergeCell ref="K76:N77"/>
    <mergeCell ref="O76:V77"/>
    <mergeCell ref="N4:S5"/>
    <mergeCell ref="T4:U5"/>
    <mergeCell ref="N6:S7"/>
    <mergeCell ref="T6:U7"/>
    <mergeCell ref="N8:S9"/>
    <mergeCell ref="T8:U9"/>
    <mergeCell ref="G6:L6"/>
    <mergeCell ref="E8:E9"/>
    <mergeCell ref="F8:L9"/>
    <mergeCell ref="E11:E12"/>
    <mergeCell ref="G51:G52"/>
    <mergeCell ref="H51:J52"/>
    <mergeCell ref="K51:N52"/>
    <mergeCell ref="G23:L23"/>
    <mergeCell ref="K42:N43"/>
    <mergeCell ref="G19:L20"/>
    <mergeCell ref="G21:L22"/>
  </mergeCells>
  <hyperlinks>
    <hyperlink ref="C49" r:id="rId1" xr:uid="{0C21E003-6617-9C48-AB3B-77719EDFDBF3}"/>
    <hyperlink ref="C51" r:id="rId2" location="toc" xr:uid="{49F0F248-F689-EA41-B21D-AEA80FD60443}"/>
  </hyperlinks>
  <pageMargins left="0.7" right="0.7" top="0.75" bottom="0.75" header="0.3" footer="0.3"/>
  <pageSetup paperSize="9" orientation="portrait"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2:BQ1775"/>
  <sheetViews>
    <sheetView showGridLines="0" topLeftCell="A154" zoomScale="92" zoomScaleNormal="100" workbookViewId="0">
      <selection activeCell="X87" sqref="X87"/>
    </sheetView>
  </sheetViews>
  <sheetFormatPr defaultColWidth="9" defaultRowHeight="15" customHeight="1"/>
  <cols>
    <col min="1" max="1" width="2.375" style="105" customWidth="1"/>
    <col min="2" max="2" width="45" style="105" customWidth="1"/>
    <col min="3" max="3" width="14" style="105" hidden="1" customWidth="1"/>
    <col min="4" max="4" width="3.5" style="105" hidden="1" customWidth="1"/>
    <col min="5" max="7" width="13.375" style="105" customWidth="1"/>
    <col min="8" max="8" width="18" style="105" customWidth="1"/>
    <col min="9" max="9" width="17" style="105" customWidth="1"/>
    <col min="10" max="11" width="12.875" style="105" customWidth="1"/>
    <col min="12" max="12" width="14.5" style="105" bestFit="1" customWidth="1"/>
    <col min="13" max="13" width="12.875" style="105" customWidth="1"/>
    <col min="14" max="18" width="14.5" style="105" bestFit="1" customWidth="1"/>
    <col min="19" max="19" width="14.5" style="105" customWidth="1"/>
    <col min="20" max="22" width="14.5" style="105" bestFit="1" customWidth="1"/>
    <col min="23" max="23" width="16" style="105" bestFit="1" customWidth="1"/>
    <col min="24" max="25" width="16.375" style="105" bestFit="1" customWidth="1"/>
    <col min="26" max="26" width="16.5" style="105" bestFit="1" customWidth="1"/>
    <col min="27" max="27" width="11.625" style="105" customWidth="1"/>
    <col min="28" max="28" width="29.125" style="105" customWidth="1"/>
    <col min="29" max="29" width="16.625" style="105" customWidth="1"/>
    <col min="30" max="30" width="32.125" style="105" hidden="1" customWidth="1"/>
    <col min="31" max="31" width="11.125" style="105" hidden="1" customWidth="1"/>
    <col min="32" max="43" width="9" style="105" hidden="1" customWidth="1"/>
    <col min="44" max="44" width="5.625" style="105" hidden="1" customWidth="1"/>
    <col min="45" max="46" width="9" style="105" customWidth="1"/>
    <col min="47" max="47" width="8.625" style="105" customWidth="1"/>
    <col min="48" max="48" width="2.625" style="105" customWidth="1"/>
    <col min="49" max="49" width="9" style="105"/>
    <col min="50" max="50" width="11.875" style="105" bestFit="1" customWidth="1"/>
    <col min="51" max="53" width="9.125" style="105" bestFit="1" customWidth="1"/>
    <col min="54" max="57" width="9" style="105"/>
    <col min="58" max="58" width="9.125" style="105" bestFit="1" customWidth="1"/>
    <col min="59" max="16384" width="9" style="105"/>
  </cols>
  <sheetData>
    <row r="2" spans="1:45" s="33" customFormat="1" ht="20.100000000000001" customHeight="1">
      <c r="B2" s="32" t="s">
        <v>348</v>
      </c>
    </row>
    <row r="4" spans="1:45" ht="15.75">
      <c r="A4" s="105" t="s">
        <v>349</v>
      </c>
      <c r="B4" s="43" t="s">
        <v>350</v>
      </c>
      <c r="C4" s="47"/>
      <c r="D4" s="47"/>
      <c r="E4" s="47"/>
      <c r="F4" s="47"/>
      <c r="G4" s="47"/>
      <c r="H4" s="47"/>
      <c r="I4" s="47"/>
      <c r="J4" s="47"/>
      <c r="K4" s="47"/>
      <c r="L4" s="47"/>
      <c r="M4" s="47"/>
      <c r="N4" s="47"/>
      <c r="O4" s="47"/>
      <c r="P4" s="47"/>
      <c r="Q4" s="47"/>
      <c r="R4" s="47"/>
      <c r="S4" s="47"/>
      <c r="T4" s="47"/>
      <c r="U4" s="47"/>
      <c r="V4" s="47"/>
      <c r="W4" s="47"/>
      <c r="X4" s="47"/>
      <c r="Y4" s="47"/>
      <c r="Z4" s="47"/>
      <c r="AA4" s="105" t="e" vm="1">
        <v>#VALUE!</v>
      </c>
      <c r="AB4" s="370"/>
      <c r="AC4" s="106"/>
      <c r="AD4" s="106"/>
    </row>
    <row r="5" spans="1:45" ht="3.95" customHeight="1">
      <c r="B5" s="107"/>
      <c r="C5" s="108"/>
      <c r="D5" s="108"/>
      <c r="E5" s="108"/>
      <c r="F5" s="108"/>
      <c r="G5" s="108"/>
      <c r="H5" s="108"/>
      <c r="I5" s="108"/>
      <c r="J5" s="108"/>
      <c r="K5" s="108"/>
      <c r="L5" s="108"/>
      <c r="M5" s="108"/>
      <c r="N5" s="108"/>
      <c r="O5" s="108"/>
      <c r="P5" s="108"/>
      <c r="Q5" s="108"/>
      <c r="R5" s="108"/>
      <c r="S5" s="108"/>
      <c r="T5" s="108"/>
      <c r="U5" s="108"/>
      <c r="V5" s="108"/>
      <c r="W5" s="108"/>
      <c r="X5" s="108"/>
      <c r="Y5" s="108"/>
      <c r="Z5" s="108"/>
      <c r="AB5" s="106"/>
      <c r="AC5" s="106"/>
      <c r="AD5" s="106"/>
    </row>
    <row r="6" spans="1:45" ht="15.75">
      <c r="B6" s="109" t="s">
        <v>351</v>
      </c>
      <c r="C6" s="110"/>
      <c r="D6" s="110"/>
      <c r="E6" s="109" t="s">
        <v>352</v>
      </c>
      <c r="F6" s="110"/>
      <c r="G6" s="110"/>
      <c r="H6" s="109" t="s">
        <v>353</v>
      </c>
      <c r="J6" s="110"/>
      <c r="K6" s="109" t="s">
        <v>354</v>
      </c>
      <c r="L6" s="110"/>
      <c r="P6" s="110"/>
      <c r="Q6" s="110"/>
      <c r="R6" s="110"/>
      <c r="S6" s="110"/>
      <c r="T6" s="110"/>
      <c r="U6" s="110"/>
      <c r="V6" s="110"/>
      <c r="W6" s="110"/>
      <c r="X6" s="110"/>
      <c r="Y6" s="110"/>
      <c r="Z6" s="110"/>
      <c r="AG6" s="105" t="s">
        <v>27</v>
      </c>
      <c r="AH6" s="105" t="s">
        <v>355</v>
      </c>
      <c r="AI6" s="105" t="s">
        <v>356</v>
      </c>
      <c r="AJ6" s="105" t="s">
        <v>357</v>
      </c>
      <c r="AK6" s="105" t="s">
        <v>358</v>
      </c>
      <c r="AL6" s="105" t="s">
        <v>283</v>
      </c>
      <c r="AM6" s="105" t="s">
        <v>359</v>
      </c>
      <c r="AN6" s="105" t="s">
        <v>274</v>
      </c>
      <c r="AO6" s="105" t="s">
        <v>360</v>
      </c>
      <c r="AP6" s="105" t="s">
        <v>279</v>
      </c>
      <c r="AQ6" s="105" t="s">
        <v>276</v>
      </c>
      <c r="AR6" s="105" t="s">
        <v>272</v>
      </c>
    </row>
    <row r="7" spans="1:45">
      <c r="B7" s="110" t="s">
        <v>205</v>
      </c>
      <c r="C7" s="574">
        <v>2</v>
      </c>
      <c r="D7" s="110"/>
      <c r="E7" s="105" t="s">
        <v>205</v>
      </c>
      <c r="F7" s="578">
        <v>-0.02</v>
      </c>
      <c r="H7" s="105" t="s">
        <v>205</v>
      </c>
      <c r="K7" s="105" t="s">
        <v>205</v>
      </c>
      <c r="L7" s="578">
        <v>0.02</v>
      </c>
      <c r="P7" s="110"/>
      <c r="AB7" s="105" t="s">
        <v>361</v>
      </c>
      <c r="AC7" s="321">
        <v>2024</v>
      </c>
      <c r="AF7" s="105">
        <v>2022</v>
      </c>
      <c r="AG7" s="148">
        <f>+E194</f>
        <v>-64536</v>
      </c>
      <c r="AH7" s="148">
        <f>+E246</f>
        <v>-27301</v>
      </c>
      <c r="AI7" s="148">
        <f ca="1">+H218</f>
        <v>0</v>
      </c>
      <c r="AJ7" s="148">
        <f>+E259</f>
        <v>-905</v>
      </c>
      <c r="AK7" s="148">
        <f>+E184</f>
        <v>-85746</v>
      </c>
      <c r="AL7" s="186">
        <f>+E244</f>
        <v>0</v>
      </c>
      <c r="AM7" s="148">
        <f>+E89</f>
        <v>355797</v>
      </c>
      <c r="AQ7" s="148"/>
    </row>
    <row r="8" spans="1:45">
      <c r="B8" s="110" t="s">
        <v>362</v>
      </c>
      <c r="C8" s="574">
        <v>2</v>
      </c>
      <c r="D8" s="110"/>
      <c r="E8" s="105" t="s">
        <v>362</v>
      </c>
      <c r="F8" s="578">
        <v>-0.01</v>
      </c>
      <c r="H8" s="105" t="s">
        <v>362</v>
      </c>
      <c r="K8" s="105" t="s">
        <v>362</v>
      </c>
      <c r="L8" s="578">
        <v>0.01</v>
      </c>
      <c r="P8" s="110"/>
      <c r="AB8" s="105" t="s">
        <v>363</v>
      </c>
      <c r="AC8" s="322">
        <v>45657</v>
      </c>
      <c r="AF8" s="105">
        <f t="shared" ref="AF8:AF14" si="0">+AF7+1</f>
        <v>2023</v>
      </c>
      <c r="AG8" s="148">
        <f>+F194</f>
        <v>-113850.04800943425</v>
      </c>
      <c r="AH8" s="148">
        <f>+F246</f>
        <v>-113819.04800000001</v>
      </c>
      <c r="AI8" s="148">
        <f ca="1">+I218</f>
        <v>0</v>
      </c>
      <c r="AJ8" s="148">
        <f>+F259</f>
        <v>1954</v>
      </c>
      <c r="AK8" s="148">
        <f>+F184</f>
        <v>-157754.04800943425</v>
      </c>
      <c r="AL8" s="186">
        <f>+F244</f>
        <v>0</v>
      </c>
      <c r="AM8" s="148">
        <f>+F89</f>
        <v>355441</v>
      </c>
    </row>
    <row r="9" spans="1:45">
      <c r="B9" s="110" t="s">
        <v>364</v>
      </c>
      <c r="C9" s="574">
        <v>2</v>
      </c>
      <c r="D9" s="110"/>
      <c r="E9" s="110" t="s">
        <v>364</v>
      </c>
      <c r="F9" s="576">
        <f ca="1">IFERROR(+I9+0.5%,"")</f>
        <v>0.13452674693217992</v>
      </c>
      <c r="H9" s="110" t="s">
        <v>364</v>
      </c>
      <c r="I9" s="577">
        <f ca="1">WACC!G25</f>
        <v>0.12952674693217991</v>
      </c>
      <c r="J9" s="110"/>
      <c r="K9" s="110" t="s">
        <v>364</v>
      </c>
      <c r="L9" s="579">
        <f ca="1">IFERROR(I9-0.5%,"")</f>
        <v>0.12452674693217991</v>
      </c>
      <c r="M9" s="110"/>
      <c r="P9" s="110"/>
      <c r="Q9" s="110"/>
      <c r="R9" s="110"/>
      <c r="S9" s="110"/>
      <c r="T9" s="110"/>
      <c r="U9" s="110"/>
      <c r="V9" s="110"/>
      <c r="W9" s="110"/>
      <c r="X9" s="110"/>
      <c r="Y9" s="110"/>
      <c r="Z9" s="110"/>
      <c r="AB9" s="105" t="s">
        <v>365</v>
      </c>
      <c r="AC9" s="322">
        <v>45726</v>
      </c>
      <c r="AF9" s="105">
        <f t="shared" si="0"/>
        <v>2024</v>
      </c>
      <c r="AG9" s="148">
        <f>+G194</f>
        <v>-146246.04136110173</v>
      </c>
      <c r="AH9" s="148">
        <f>+G246</f>
        <v>-245379.05900000001</v>
      </c>
      <c r="AI9" s="148">
        <f ca="1">+J218</f>
        <v>0</v>
      </c>
      <c r="AJ9" s="148">
        <f>+G259</f>
        <v>41449</v>
      </c>
      <c r="AK9" s="148">
        <f>+G184</f>
        <v>-232455.04136110173</v>
      </c>
      <c r="AL9" s="186">
        <f>+G244</f>
        <v>0</v>
      </c>
      <c r="AM9" s="148">
        <f>+G89</f>
        <v>340289</v>
      </c>
      <c r="AN9" s="186">
        <f>Inputs!Q48</f>
        <v>508388</v>
      </c>
      <c r="AO9" s="186">
        <f>+Inputs!Q60</f>
        <v>124526</v>
      </c>
      <c r="AP9" s="186">
        <f>+AN9-AO9</f>
        <v>383862</v>
      </c>
      <c r="AQ9" s="186">
        <f>+Inputs!Q54</f>
        <v>36085</v>
      </c>
      <c r="AR9" s="186">
        <f>+Inputs!Q38</f>
        <v>378802</v>
      </c>
    </row>
    <row r="10" spans="1:45">
      <c r="B10" s="110" t="s">
        <v>366</v>
      </c>
      <c r="C10" s="574">
        <v>2</v>
      </c>
      <c r="D10" s="110"/>
      <c r="E10" s="110" t="s">
        <v>366</v>
      </c>
      <c r="F10" s="576">
        <f>+I10-0.5%</f>
        <v>1.4999999999999999E-2</v>
      </c>
      <c r="H10" s="110" t="s">
        <v>366</v>
      </c>
      <c r="I10" s="578">
        <v>0.02</v>
      </c>
      <c r="J10" s="110"/>
      <c r="K10" s="110" t="s">
        <v>366</v>
      </c>
      <c r="L10" s="576">
        <f>+I10+0.5%</f>
        <v>2.5000000000000001E-2</v>
      </c>
      <c r="M10" s="110"/>
      <c r="P10" s="110"/>
      <c r="AB10" s="105" t="s">
        <v>367</v>
      </c>
      <c r="AC10" s="322">
        <v>45769</v>
      </c>
      <c r="AF10" s="105">
        <f t="shared" si="0"/>
        <v>2025</v>
      </c>
      <c r="AG10" s="148">
        <f ca="1">+H194</f>
        <v>-112020.30306147794</v>
      </c>
      <c r="AH10" s="148">
        <f>+H246</f>
        <v>76542.222605188785</v>
      </c>
      <c r="AI10" s="148">
        <f ca="1">+K218</f>
        <v>0</v>
      </c>
      <c r="AJ10" s="148">
        <f ca="1">+H259</f>
        <v>0</v>
      </c>
      <c r="AK10" s="148">
        <f ca="1">+H184</f>
        <v>-224628.41378633841</v>
      </c>
      <c r="AL10" s="186">
        <f>+H244</f>
        <v>245379.05900000001</v>
      </c>
      <c r="AM10" s="148">
        <f ca="1">+H89</f>
        <v>54852.613005188701</v>
      </c>
      <c r="AN10" s="186">
        <f ca="1">Inputs!Q48+DCF!H89+DCF!H91+DCF!H94+DCF!H97+DCF!H100+DCF!H106-DCF!G89-DCF!G91-DCF!G94-DCF!G97-DCF!G100-DCF!G106</f>
        <v>295226.38260635582</v>
      </c>
      <c r="AO10" s="186">
        <f>+Inputs!Q60+(DCF!H111+DCF!H114+DCF!H117+DCF!H119*DCF!G111*DCF!G114*DCF!G117*DCF!G119)</f>
        <v>424706.19872602739</v>
      </c>
      <c r="AP10" s="186">
        <f ca="1">+AN10-AO10</f>
        <v>-129479.81611967157</v>
      </c>
      <c r="AQ10" s="148">
        <f>+AQ9+H111+H114-G111-G114</f>
        <v>58167.13972602741</v>
      </c>
      <c r="AR10" s="148">
        <f ca="1">+H89+H91+H94+H97</f>
        <v>101369.17629285993</v>
      </c>
    </row>
    <row r="11" spans="1:45" ht="9.9499999999999993" customHeight="1">
      <c r="B11" s="110"/>
      <c r="C11" s="110"/>
      <c r="D11" s="110"/>
      <c r="E11" s="110"/>
      <c r="G11" s="110"/>
      <c r="K11" s="110"/>
      <c r="M11" s="110"/>
      <c r="P11" s="110"/>
      <c r="AF11" s="105">
        <f t="shared" si="0"/>
        <v>2026</v>
      </c>
      <c r="AG11" s="148">
        <f ca="1">+I194</f>
        <v>-188326.79755000267</v>
      </c>
      <c r="AH11" s="148">
        <f>+I246</f>
        <v>-291521.2153277804</v>
      </c>
      <c r="AI11" s="148">
        <f ca="1">+L218</f>
        <v>0</v>
      </c>
      <c r="AJ11" s="148">
        <f ca="1">+I259</f>
        <v>0</v>
      </c>
      <c r="AK11" s="148">
        <f ca="1">+I184</f>
        <v>-275369.76933608472</v>
      </c>
      <c r="AL11" s="186">
        <f>+I244</f>
        <v>0</v>
      </c>
      <c r="AM11" s="148">
        <f ca="1">+I89</f>
        <v>-453756.33704259171</v>
      </c>
      <c r="AN11" s="186">
        <f ca="1">AN10+DCF!I89+DCF!I91+DCF!I94+DCF!I97+DCF!I100+DCF!I106-DCF!H89-DCF!H91-DCF!H94-DCF!H97-DCF!H100-DCF!H106</f>
        <v>-113659.55492848717</v>
      </c>
      <c r="AO11" s="186">
        <f>AO10+(DCF!I111+DCF!I114+DCF!I117+DCF!I119*DCF!H111*DCF!H114*DCF!H117*DCF!H119)</f>
        <v>1.0421837128318465E+23</v>
      </c>
      <c r="AP11" s="186">
        <f ca="1">+AN11-AO11</f>
        <v>-1.0421837128318465E+23</v>
      </c>
      <c r="AQ11" s="148">
        <f>+AQ10+I111+I114-H111-H114</f>
        <v>72087.334794520575</v>
      </c>
      <c r="AR11" s="148">
        <f ca="1">+I89+I91+I94+I97</f>
        <v>-388421.46244898444</v>
      </c>
      <c r="AS11" s="148"/>
    </row>
    <row r="12" spans="1:45" ht="13.5" customHeight="1">
      <c r="B12" s="110" t="s">
        <v>364</v>
      </c>
      <c r="C12" s="575">
        <f ca="1">CHOOSE(C9,F9,I9,L9)</f>
        <v>0.12952674693217991</v>
      </c>
      <c r="D12" s="110"/>
      <c r="E12" s="110"/>
      <c r="G12" s="110"/>
      <c r="K12" s="110"/>
      <c r="P12" s="110"/>
      <c r="AB12" s="111"/>
      <c r="AC12" s="112"/>
      <c r="AF12" s="105">
        <f t="shared" si="0"/>
        <v>2027</v>
      </c>
      <c r="AG12" s="148">
        <f ca="1">+J194</f>
        <v>-232576.45004447515</v>
      </c>
      <c r="AH12" s="148">
        <f>+J246</f>
        <v>-79751.71027225029</v>
      </c>
      <c r="AI12" s="148">
        <f ca="1">+M218</f>
        <v>0</v>
      </c>
      <c r="AJ12" s="148">
        <f ca="1">+J259</f>
        <v>0</v>
      </c>
      <c r="AK12" s="148">
        <f ca="1">+J184</f>
        <v>-332893.94693373487</v>
      </c>
      <c r="AL12" s="186">
        <f>+J244</f>
        <v>291521.2153277804</v>
      </c>
      <c r="AM12" s="148">
        <f ca="1">+J89</f>
        <v>-703982.18997484201</v>
      </c>
    </row>
    <row r="13" spans="1:45">
      <c r="B13" s="110" t="s">
        <v>366</v>
      </c>
      <c r="C13" s="575">
        <f>CHOOSE(C10,F10,I10,L10)</f>
        <v>0.02</v>
      </c>
      <c r="D13" s="110"/>
      <c r="E13" s="110"/>
      <c r="G13" s="113"/>
      <c r="H13" s="110"/>
      <c r="I13" s="110"/>
      <c r="J13" s="110"/>
      <c r="K13" s="110"/>
      <c r="L13" s="110"/>
      <c r="M13" s="110"/>
      <c r="O13" s="110"/>
      <c r="P13" s="110"/>
      <c r="Q13" s="110"/>
      <c r="R13" s="110"/>
      <c r="S13" s="110"/>
      <c r="T13" s="110"/>
      <c r="U13" s="110"/>
      <c r="V13" s="110"/>
      <c r="W13" s="110"/>
      <c r="X13" s="110"/>
      <c r="Y13" s="110"/>
      <c r="Z13" s="110"/>
      <c r="AA13" s="110"/>
      <c r="AF13" s="105">
        <f t="shared" si="0"/>
        <v>2028</v>
      </c>
      <c r="AG13" s="148">
        <f ca="1">+K194</f>
        <v>-318961.7132299731</v>
      </c>
      <c r="AH13" s="148">
        <f>+K246</f>
        <v>-388563.71629105619</v>
      </c>
      <c r="AI13" s="148">
        <f ca="1">+N218</f>
        <v>0</v>
      </c>
      <c r="AJ13" s="148">
        <f ca="1">+K259</f>
        <v>0</v>
      </c>
      <c r="AK13" s="148">
        <f ca="1">+K184</f>
        <v>-400174.95094479399</v>
      </c>
      <c r="AL13" s="186">
        <f>+K244</f>
        <v>79751.71027225029</v>
      </c>
      <c r="AM13" s="148">
        <f ca="1">+K89</f>
        <v>-1467316.1497558979</v>
      </c>
    </row>
    <row r="14" spans="1:45">
      <c r="B14" s="110"/>
      <c r="C14" s="114"/>
      <c r="D14" s="110"/>
      <c r="E14" s="115"/>
      <c r="F14" s="115"/>
      <c r="G14" s="115"/>
      <c r="H14" s="110"/>
      <c r="I14" s="110"/>
      <c r="J14" s="110"/>
      <c r="K14" s="110"/>
      <c r="L14" s="110"/>
      <c r="M14" s="110"/>
      <c r="O14" s="110"/>
      <c r="P14" s="110"/>
      <c r="Q14" s="110"/>
      <c r="R14" s="110"/>
      <c r="S14" s="110"/>
      <c r="T14" s="110"/>
      <c r="U14" s="110"/>
      <c r="V14" s="110"/>
      <c r="W14" s="110"/>
      <c r="X14" s="110"/>
      <c r="Y14" s="110"/>
      <c r="Z14" s="110"/>
      <c r="AA14" s="110"/>
      <c r="AF14" s="105">
        <f t="shared" si="0"/>
        <v>2029</v>
      </c>
      <c r="AG14" s="148">
        <f ca="1">+L194</f>
        <v>-376231.76193911082</v>
      </c>
      <c r="AH14" s="148">
        <f>+L246</f>
        <v>-183290.34898138797</v>
      </c>
      <c r="AI14" s="148">
        <f ca="1">+O218</f>
        <v>0</v>
      </c>
      <c r="AJ14" s="148">
        <f ca="1">+L259</f>
        <v>0</v>
      </c>
      <c r="AK14" s="148">
        <f ca="1">+L184</f>
        <v>-447618.39293572935</v>
      </c>
      <c r="AL14" s="186">
        <f>+L244</f>
        <v>388563.71629105619</v>
      </c>
      <c r="AM14" s="148">
        <f ca="1">+L89</f>
        <v>-2031772.559172286</v>
      </c>
    </row>
    <row r="15" spans="1:45" ht="15.75">
      <c r="A15" s="105" t="s">
        <v>349</v>
      </c>
      <c r="B15" s="43" t="s">
        <v>368</v>
      </c>
      <c r="C15" s="47"/>
      <c r="D15" s="47"/>
      <c r="E15" s="116">
        <v>2022</v>
      </c>
      <c r="F15" s="116">
        <f>+E15+1</f>
        <v>2023</v>
      </c>
      <c r="G15" s="117">
        <f>+F15+1</f>
        <v>2024</v>
      </c>
      <c r="H15" s="88">
        <f t="shared" ref="H15:J15" si="1">+G15+1</f>
        <v>2025</v>
      </c>
      <c r="I15" s="88">
        <f t="shared" si="1"/>
        <v>2026</v>
      </c>
      <c r="J15" s="88">
        <f t="shared" si="1"/>
        <v>2027</v>
      </c>
      <c r="K15" s="88">
        <f>+J15+1</f>
        <v>2028</v>
      </c>
      <c r="L15" s="88">
        <f t="shared" ref="L15:Q15" si="2">+K15+1</f>
        <v>2029</v>
      </c>
      <c r="M15" s="88">
        <f t="shared" si="2"/>
        <v>2030</v>
      </c>
      <c r="N15" s="88">
        <f t="shared" si="2"/>
        <v>2031</v>
      </c>
      <c r="O15" s="88">
        <f t="shared" si="2"/>
        <v>2032</v>
      </c>
      <c r="P15" s="88">
        <f t="shared" si="2"/>
        <v>2033</v>
      </c>
      <c r="Q15" s="88">
        <f t="shared" si="2"/>
        <v>2034</v>
      </c>
      <c r="R15" s="88">
        <f t="shared" ref="R15" si="3">+Q15+1</f>
        <v>2035</v>
      </c>
      <c r="S15" s="88">
        <f t="shared" ref="S15" si="4">+R15+1</f>
        <v>2036</v>
      </c>
      <c r="T15" s="88">
        <f t="shared" ref="T15" si="5">+S15+1</f>
        <v>2037</v>
      </c>
      <c r="U15" s="88">
        <f t="shared" ref="U15" si="6">+T15+1</f>
        <v>2038</v>
      </c>
      <c r="V15" s="88">
        <f t="shared" ref="V15" si="7">+U15+1</f>
        <v>2039</v>
      </c>
      <c r="W15" s="88">
        <f t="shared" ref="W15" si="8">+V15+1</f>
        <v>2040</v>
      </c>
      <c r="X15" s="88">
        <f t="shared" ref="X15" si="9">+W15+1</f>
        <v>2041</v>
      </c>
      <c r="Y15" s="88">
        <f t="shared" ref="Y15" si="10">+X15+1</f>
        <v>2042</v>
      </c>
      <c r="Z15" s="88">
        <f t="shared" ref="Z15" si="11">+Y15+1</f>
        <v>2043</v>
      </c>
      <c r="AA15" s="110"/>
    </row>
    <row r="16" spans="1:45" ht="3.75" customHeight="1">
      <c r="B16" s="57"/>
      <c r="C16" s="57"/>
      <c r="D16" s="57"/>
      <c r="E16" s="57"/>
      <c r="F16" s="57"/>
      <c r="G16" s="118"/>
      <c r="H16" s="57"/>
      <c r="I16" s="57"/>
      <c r="J16" s="57"/>
      <c r="K16" s="57"/>
      <c r="L16" s="57"/>
      <c r="M16" s="57"/>
      <c r="N16" s="57"/>
      <c r="O16" s="57"/>
      <c r="P16" s="57"/>
      <c r="Q16" s="57"/>
      <c r="R16" s="57"/>
      <c r="S16" s="57"/>
      <c r="T16" s="57"/>
      <c r="U16" s="57"/>
      <c r="V16" s="57"/>
      <c r="W16" s="57"/>
      <c r="X16" s="57"/>
      <c r="Y16" s="57"/>
      <c r="Z16" s="57"/>
      <c r="AA16" s="110"/>
    </row>
    <row r="17" spans="1:69">
      <c r="B17" s="110" t="s">
        <v>369</v>
      </c>
      <c r="C17" s="114"/>
      <c r="D17" s="110"/>
      <c r="E17" s="119">
        <v>695400</v>
      </c>
      <c r="F17" s="119">
        <v>885400</v>
      </c>
      <c r="G17" s="120">
        <v>1160100</v>
      </c>
      <c r="H17" s="757">
        <f>G17*(1+H18)</f>
        <v>1508130</v>
      </c>
      <c r="I17" s="757">
        <f t="shared" ref="I17:M17" si="12">H17*(1+I18)</f>
        <v>1968109.65</v>
      </c>
      <c r="J17" s="757">
        <f t="shared" si="12"/>
        <v>2568383.0932499999</v>
      </c>
      <c r="K17" s="757">
        <f t="shared" si="12"/>
        <v>3351739.9366912497</v>
      </c>
      <c r="L17" s="757">
        <f t="shared" si="12"/>
        <v>4374020.6173820803</v>
      </c>
      <c r="M17" s="757">
        <f t="shared" si="12"/>
        <v>5708096.9056836143</v>
      </c>
      <c r="N17" s="757">
        <f>M17*(1+N18)</f>
        <v>7449066.4619171163</v>
      </c>
      <c r="O17" s="757">
        <f t="shared" ref="O17:Q17" si="13">N17*(1+O18)</f>
        <v>9721031.732801836</v>
      </c>
      <c r="P17" s="757">
        <f t="shared" si="13"/>
        <v>12685946.411306396</v>
      </c>
      <c r="Q17" s="757">
        <f t="shared" si="13"/>
        <v>16618589.79881138</v>
      </c>
      <c r="R17" s="757">
        <f>Q17*(1+R18)</f>
        <v>21770352.636442907</v>
      </c>
      <c r="S17" s="757">
        <f t="shared" ref="S17:Z17" si="14">R17*(1+S18)</f>
        <v>28519161.953740209</v>
      </c>
      <c r="T17" s="757">
        <f t="shared" si="14"/>
        <v>37360102.159399673</v>
      </c>
      <c r="U17" s="757">
        <f t="shared" si="14"/>
        <v>48941733.828813575</v>
      </c>
      <c r="V17" s="757">
        <f t="shared" si="14"/>
        <v>64113671.315745786</v>
      </c>
      <c r="W17" s="757">
        <f t="shared" si="14"/>
        <v>83988909.423626989</v>
      </c>
      <c r="X17" s="757">
        <f t="shared" si="14"/>
        <v>110025471.34495136</v>
      </c>
      <c r="Y17" s="757">
        <f t="shared" si="14"/>
        <v>144133367.46188629</v>
      </c>
      <c r="Z17" s="757">
        <f t="shared" si="14"/>
        <v>188814711.37507105</v>
      </c>
      <c r="AA17" s="110"/>
    </row>
    <row r="18" spans="1:69">
      <c r="B18" s="110" t="s">
        <v>370</v>
      </c>
      <c r="C18" s="114"/>
      <c r="D18" s="110"/>
      <c r="E18" s="765" t="s">
        <v>371</v>
      </c>
      <c r="F18" s="756">
        <f>F17/E17-1</f>
        <v>0.27322404371584708</v>
      </c>
      <c r="G18" s="779">
        <f>G17/F17-1</f>
        <v>0.3102552518635644</v>
      </c>
      <c r="H18" s="755">
        <v>0.3</v>
      </c>
      <c r="I18" s="755">
        <v>0.30499999999999999</v>
      </c>
      <c r="J18" s="755">
        <v>0.30499999999999999</v>
      </c>
      <c r="K18" s="755">
        <v>0.30499999999999999</v>
      </c>
      <c r="L18" s="755">
        <v>0.30499999999999999</v>
      </c>
      <c r="M18" s="755">
        <v>0.30499999999999999</v>
      </c>
      <c r="N18" s="755">
        <v>0.30499999999999999</v>
      </c>
      <c r="O18" s="755">
        <v>0.30499999999999999</v>
      </c>
      <c r="P18" s="755">
        <v>0.30499999999999999</v>
      </c>
      <c r="Q18" s="755">
        <v>0.31</v>
      </c>
      <c r="R18" s="755">
        <v>0.31</v>
      </c>
      <c r="S18" s="755">
        <v>0.31</v>
      </c>
      <c r="T18" s="755">
        <v>0.31</v>
      </c>
      <c r="U18" s="755">
        <v>0.31</v>
      </c>
      <c r="V18" s="755">
        <v>0.31</v>
      </c>
      <c r="W18" s="755">
        <v>0.31</v>
      </c>
      <c r="X18" s="755">
        <v>0.31</v>
      </c>
      <c r="Y18" s="755">
        <v>0.31</v>
      </c>
      <c r="Z18" s="755">
        <v>0.31</v>
      </c>
      <c r="AA18" s="110"/>
      <c r="AN18" s="186"/>
      <c r="AO18" s="186"/>
      <c r="AP18" s="186"/>
      <c r="AQ18" s="186"/>
    </row>
    <row r="19" spans="1:69">
      <c r="B19" s="110" t="s">
        <v>372</v>
      </c>
      <c r="C19" s="114"/>
      <c r="D19" s="110"/>
      <c r="E19" s="119">
        <v>695400</v>
      </c>
      <c r="F19" s="119">
        <v>885400</v>
      </c>
      <c r="G19" s="780">
        <v>1160100</v>
      </c>
      <c r="H19" s="757">
        <f>G19*(1+H20)</f>
        <v>1498849.2</v>
      </c>
      <c r="I19" s="757">
        <f t="shared" ref="I19:Z19" si="15">H19*(1+I20)</f>
        <v>1936513.1664</v>
      </c>
      <c r="J19" s="757">
        <f t="shared" si="15"/>
        <v>2501975.0109887999</v>
      </c>
      <c r="K19" s="757">
        <f t="shared" si="15"/>
        <v>3232551.7141975295</v>
      </c>
      <c r="L19" s="757">
        <f t="shared" si="15"/>
        <v>4266968.2627407387</v>
      </c>
      <c r="M19" s="757">
        <f t="shared" si="15"/>
        <v>5632398.1068177754</v>
      </c>
      <c r="N19" s="757">
        <f t="shared" si="15"/>
        <v>7434765.5009994637</v>
      </c>
      <c r="O19" s="757">
        <f t="shared" si="15"/>
        <v>9813890.461319292</v>
      </c>
      <c r="P19" s="757">
        <f t="shared" si="15"/>
        <v>12954335.408941466</v>
      </c>
      <c r="Q19" s="757">
        <f t="shared" si="15"/>
        <v>17099722.739802737</v>
      </c>
      <c r="R19" s="757">
        <f t="shared" si="15"/>
        <v>22571634.016539615</v>
      </c>
      <c r="S19" s="757">
        <f t="shared" si="15"/>
        <v>29794556.901832294</v>
      </c>
      <c r="T19" s="757">
        <f t="shared" si="15"/>
        <v>39626760.679436952</v>
      </c>
      <c r="U19" s="757">
        <f t="shared" si="15"/>
        <v>52703591.703651145</v>
      </c>
      <c r="V19" s="757">
        <f t="shared" si="15"/>
        <v>70622812.882892534</v>
      </c>
      <c r="W19" s="757">
        <f t="shared" si="15"/>
        <v>94634569.263076007</v>
      </c>
      <c r="X19" s="757">
        <f t="shared" si="15"/>
        <v>126810322.81252186</v>
      </c>
      <c r="Y19" s="757">
        <f t="shared" si="15"/>
        <v>169925832.56877929</v>
      </c>
      <c r="Z19" s="757">
        <f t="shared" si="15"/>
        <v>227700615.64216426</v>
      </c>
      <c r="AA19" s="110"/>
      <c r="AM19" s="148"/>
      <c r="AN19" s="148"/>
      <c r="AO19" s="148"/>
      <c r="AP19" s="148"/>
    </row>
    <row r="20" spans="1:69">
      <c r="B20" s="590" t="s">
        <v>373</v>
      </c>
      <c r="C20" s="114"/>
      <c r="D20" s="110"/>
      <c r="E20" s="591"/>
      <c r="F20" s="591"/>
      <c r="G20" s="781"/>
      <c r="H20" s="755">
        <v>0.29199999999999998</v>
      </c>
      <c r="I20" s="755">
        <v>0.29199999999999998</v>
      </c>
      <c r="J20" s="755">
        <v>0.29199999999999998</v>
      </c>
      <c r="K20" s="755">
        <v>0.29199999999999998</v>
      </c>
      <c r="L20" s="755">
        <v>0.32</v>
      </c>
      <c r="M20" s="755">
        <v>0.32</v>
      </c>
      <c r="N20" s="755">
        <v>0.32</v>
      </c>
      <c r="O20" s="755">
        <v>0.32</v>
      </c>
      <c r="P20" s="755">
        <v>0.32</v>
      </c>
      <c r="Q20" s="755">
        <v>0.32</v>
      </c>
      <c r="R20" s="755">
        <v>0.32</v>
      </c>
      <c r="S20" s="755">
        <v>0.32</v>
      </c>
      <c r="T20" s="755">
        <v>0.33</v>
      </c>
      <c r="U20" s="755">
        <v>0.33</v>
      </c>
      <c r="V20" s="755">
        <v>0.34</v>
      </c>
      <c r="W20" s="755">
        <v>0.34</v>
      </c>
      <c r="X20" s="755">
        <v>0.34</v>
      </c>
      <c r="Y20" s="755">
        <v>0.34</v>
      </c>
      <c r="Z20" s="755">
        <v>0.34</v>
      </c>
      <c r="AA20" s="110"/>
      <c r="AB20" s="24"/>
      <c r="AC20" s="82"/>
      <c r="AD20" s="82"/>
      <c r="AE20" s="82"/>
      <c r="AF20" s="82"/>
      <c r="AG20" s="82"/>
    </row>
    <row r="21" spans="1:69">
      <c r="B21" s="110" t="s">
        <v>196</v>
      </c>
      <c r="C21" s="114"/>
      <c r="D21" s="110"/>
      <c r="E21" s="119">
        <v>695400</v>
      </c>
      <c r="F21" s="119">
        <v>885400</v>
      </c>
      <c r="G21" s="780">
        <v>1160100</v>
      </c>
      <c r="H21" s="757">
        <f>(H17+H19)/2</f>
        <v>1503489.6</v>
      </c>
      <c r="I21" s="757">
        <f t="shared" ref="I21:Z21" si="16">(I17+I19)/2</f>
        <v>1952311.4081999999</v>
      </c>
      <c r="J21" s="757">
        <f t="shared" si="16"/>
        <v>2535179.0521193999</v>
      </c>
      <c r="K21" s="757">
        <f t="shared" si="16"/>
        <v>3292145.8254443896</v>
      </c>
      <c r="L21" s="757">
        <f t="shared" si="16"/>
        <v>4320494.440061409</v>
      </c>
      <c r="M21" s="757">
        <f t="shared" si="16"/>
        <v>5670247.5062506944</v>
      </c>
      <c r="N21" s="757">
        <f t="shared" si="16"/>
        <v>7441915.9814582895</v>
      </c>
      <c r="O21" s="757">
        <f t="shared" si="16"/>
        <v>9767461.0970605649</v>
      </c>
      <c r="P21" s="757">
        <f t="shared" si="16"/>
        <v>12820140.910123931</v>
      </c>
      <c r="Q21" s="757">
        <f t="shared" si="16"/>
        <v>16859156.269307058</v>
      </c>
      <c r="R21" s="757">
        <f t="shared" si="16"/>
        <v>22170993.326491259</v>
      </c>
      <c r="S21" s="757">
        <f t="shared" si="16"/>
        <v>29156859.427786253</v>
      </c>
      <c r="T21" s="757">
        <f t="shared" si="16"/>
        <v>38493431.419418313</v>
      </c>
      <c r="U21" s="757">
        <f t="shared" si="16"/>
        <v>50822662.766232356</v>
      </c>
      <c r="V21" s="757">
        <f t="shared" si="16"/>
        <v>67368242.09931916</v>
      </c>
      <c r="W21" s="757">
        <f t="shared" si="16"/>
        <v>89311739.343351498</v>
      </c>
      <c r="X21" s="757">
        <f t="shared" si="16"/>
        <v>118417897.0787366</v>
      </c>
      <c r="Y21" s="757">
        <f t="shared" si="16"/>
        <v>157029600.01533279</v>
      </c>
      <c r="Z21" s="757">
        <f t="shared" si="16"/>
        <v>208257663.50861764</v>
      </c>
      <c r="AA21" s="110"/>
      <c r="AB21" s="82"/>
      <c r="AC21"/>
      <c r="AD21"/>
      <c r="AE21"/>
      <c r="AF21"/>
      <c r="AG21"/>
    </row>
    <row r="22" spans="1:69" ht="15.75">
      <c r="B22" s="110" t="s">
        <v>374</v>
      </c>
      <c r="C22" s="114"/>
      <c r="D22" s="110"/>
      <c r="E22" s="119"/>
      <c r="F22" s="119"/>
      <c r="G22" s="780"/>
      <c r="H22" s="758">
        <f>(H18+H20)/2</f>
        <v>0.29599999999999999</v>
      </c>
      <c r="I22" s="758">
        <f t="shared" ref="I22:Z22" si="17">(I18+I20)/2</f>
        <v>0.29849999999999999</v>
      </c>
      <c r="J22" s="758">
        <f t="shared" si="17"/>
        <v>0.29849999999999999</v>
      </c>
      <c r="K22" s="758">
        <f t="shared" si="17"/>
        <v>0.29849999999999999</v>
      </c>
      <c r="L22" s="758">
        <f t="shared" si="17"/>
        <v>0.3125</v>
      </c>
      <c r="M22" s="758">
        <f t="shared" si="17"/>
        <v>0.3125</v>
      </c>
      <c r="N22" s="758">
        <f t="shared" si="17"/>
        <v>0.3125</v>
      </c>
      <c r="O22" s="758">
        <f t="shared" si="17"/>
        <v>0.3125</v>
      </c>
      <c r="P22" s="758">
        <f t="shared" si="17"/>
        <v>0.3125</v>
      </c>
      <c r="Q22" s="758">
        <f t="shared" si="17"/>
        <v>0.315</v>
      </c>
      <c r="R22" s="758">
        <f t="shared" si="17"/>
        <v>0.315</v>
      </c>
      <c r="S22" s="758">
        <f t="shared" si="17"/>
        <v>0.315</v>
      </c>
      <c r="T22" s="758">
        <f t="shared" si="17"/>
        <v>0.32</v>
      </c>
      <c r="U22" s="758">
        <f t="shared" si="17"/>
        <v>0.32</v>
      </c>
      <c r="V22" s="758">
        <f t="shared" si="17"/>
        <v>0.32500000000000001</v>
      </c>
      <c r="W22" s="758">
        <f t="shared" si="17"/>
        <v>0.32500000000000001</v>
      </c>
      <c r="X22" s="758">
        <f t="shared" si="17"/>
        <v>0.32500000000000001</v>
      </c>
      <c r="Y22" s="758">
        <f t="shared" si="17"/>
        <v>0.32500000000000001</v>
      </c>
      <c r="Z22" s="758">
        <f t="shared" si="17"/>
        <v>0.32500000000000001</v>
      </c>
      <c r="AA22" s="110"/>
      <c r="AB22" s="82"/>
      <c r="AC22"/>
      <c r="AD22"/>
      <c r="AE22"/>
      <c r="AF22"/>
      <c r="AG22"/>
      <c r="AX22" s="257">
        <v>0.6</v>
      </c>
      <c r="AY22" s="257">
        <v>0.6</v>
      </c>
      <c r="AZ22" s="257">
        <v>0.5</v>
      </c>
      <c r="BA22" s="257">
        <v>0.5</v>
      </c>
      <c r="BB22" s="257">
        <v>0.5</v>
      </c>
      <c r="BC22" s="257">
        <v>0.4</v>
      </c>
      <c r="BD22" s="257">
        <v>0.4</v>
      </c>
      <c r="BE22" s="257">
        <v>0.4</v>
      </c>
      <c r="BF22" s="257">
        <v>0.3</v>
      </c>
      <c r="BG22" s="257">
        <v>0.3</v>
      </c>
      <c r="BH22" s="257">
        <v>0.3</v>
      </c>
      <c r="BI22" s="257">
        <v>0.25</v>
      </c>
      <c r="BJ22" s="257">
        <v>0.25</v>
      </c>
      <c r="BK22" s="257">
        <v>0.25</v>
      </c>
      <c r="BL22" s="257">
        <v>0.25</v>
      </c>
      <c r="BM22" s="257">
        <v>0.25</v>
      </c>
      <c r="BN22" s="257">
        <v>0.2</v>
      </c>
      <c r="BO22" s="257">
        <v>0.2</v>
      </c>
      <c r="BP22" s="257">
        <v>0.2</v>
      </c>
      <c r="BQ22" s="853">
        <f>AVERAGE(AX22:BP22)</f>
        <v>0.35000000000000003</v>
      </c>
    </row>
    <row r="23" spans="1:69">
      <c r="B23" s="253" t="s">
        <v>375</v>
      </c>
      <c r="C23" s="114"/>
      <c r="D23" s="110"/>
      <c r="E23" s="762">
        <f>E30/E21</f>
        <v>1.6006614897900489E-2</v>
      </c>
      <c r="F23" s="762">
        <f t="shared" ref="F23" si="18">F30/F21</f>
        <v>2.4894962728710189E-2</v>
      </c>
      <c r="G23" s="782">
        <f>G30/G21</f>
        <v>3.7128695802086026E-2</v>
      </c>
      <c r="H23" s="762">
        <f t="shared" ref="H23:Y23" si="19">+G23-($G$23-$Z$23)/($Z$15-$G$15)</f>
        <v>3.8858764444081498E-2</v>
      </c>
      <c r="I23" s="762">
        <f t="shared" si="19"/>
        <v>4.058883308607697E-2</v>
      </c>
      <c r="J23" s="762">
        <f t="shared" si="19"/>
        <v>4.2318901728072442E-2</v>
      </c>
      <c r="K23" s="762">
        <f t="shared" si="19"/>
        <v>4.4048970370067914E-2</v>
      </c>
      <c r="L23" s="762">
        <f t="shared" si="19"/>
        <v>4.5779039012063386E-2</v>
      </c>
      <c r="M23" s="762">
        <f t="shared" si="19"/>
        <v>4.7509107654058857E-2</v>
      </c>
      <c r="N23" s="762">
        <f t="shared" si="19"/>
        <v>4.9239176296054329E-2</v>
      </c>
      <c r="O23" s="762">
        <f t="shared" si="19"/>
        <v>5.0969244938049801E-2</v>
      </c>
      <c r="P23" s="762">
        <f t="shared" si="19"/>
        <v>5.2699313580045273E-2</v>
      </c>
      <c r="Q23" s="762">
        <f t="shared" si="19"/>
        <v>5.4429382222040745E-2</v>
      </c>
      <c r="R23" s="762">
        <f t="shared" si="19"/>
        <v>5.6159450864036217E-2</v>
      </c>
      <c r="S23" s="762">
        <f t="shared" si="19"/>
        <v>5.7889519506031689E-2</v>
      </c>
      <c r="T23" s="762">
        <f t="shared" si="19"/>
        <v>5.9619588148027161E-2</v>
      </c>
      <c r="U23" s="762">
        <f t="shared" si="19"/>
        <v>6.1349656790022633E-2</v>
      </c>
      <c r="V23" s="762">
        <f t="shared" si="19"/>
        <v>6.3079725432018105E-2</v>
      </c>
      <c r="W23" s="762">
        <f t="shared" si="19"/>
        <v>6.4809794074013577E-2</v>
      </c>
      <c r="X23" s="762">
        <f t="shared" si="19"/>
        <v>6.6539862716009049E-2</v>
      </c>
      <c r="Y23" s="762">
        <f t="shared" si="19"/>
        <v>6.8269931358004521E-2</v>
      </c>
      <c r="Z23" s="762">
        <v>7.0000000000000007E-2</v>
      </c>
      <c r="AA23" s="110"/>
      <c r="AB23" s="82"/>
      <c r="AC23"/>
      <c r="AD23"/>
      <c r="AE23"/>
      <c r="AF23"/>
      <c r="AG23"/>
    </row>
    <row r="24" spans="1:69" hidden="1">
      <c r="B24" s="110"/>
      <c r="C24" s="114"/>
      <c r="D24" s="110"/>
      <c r="E24" s="588"/>
      <c r="F24" s="588"/>
      <c r="G24" s="589"/>
      <c r="H24" s="279"/>
      <c r="I24" s="279"/>
      <c r="J24" s="279"/>
      <c r="K24" s="279"/>
      <c r="L24" s="279"/>
      <c r="M24" s="279"/>
      <c r="N24" s="279"/>
      <c r="O24" s="279"/>
      <c r="P24" s="279"/>
      <c r="Q24" s="279"/>
      <c r="R24" s="279"/>
      <c r="S24" s="279"/>
      <c r="T24" s="279"/>
      <c r="U24" s="279"/>
      <c r="V24" s="279"/>
      <c r="W24" s="279"/>
      <c r="X24" s="279"/>
      <c r="Y24" s="279"/>
      <c r="Z24" s="279"/>
      <c r="AA24" s="151"/>
      <c r="AB24" s="82"/>
      <c r="AC24"/>
      <c r="AD24"/>
      <c r="AE24"/>
      <c r="AF24"/>
      <c r="AG24"/>
    </row>
    <row r="25" spans="1:69" hidden="1">
      <c r="B25" s="110"/>
      <c r="C25" s="114"/>
      <c r="D25" s="110"/>
      <c r="E25" s="123"/>
      <c r="F25" s="123"/>
      <c r="G25" s="124"/>
      <c r="H25" s="121"/>
      <c r="I25" s="121"/>
      <c r="J25" s="121"/>
      <c r="K25" s="121"/>
      <c r="L25" s="121"/>
      <c r="M25" s="121"/>
      <c r="N25" s="121"/>
      <c r="O25" s="121"/>
      <c r="P25" s="121"/>
      <c r="Q25" s="121"/>
      <c r="R25" s="121"/>
      <c r="S25" s="121"/>
      <c r="T25" s="121"/>
      <c r="U25" s="121"/>
      <c r="V25" s="121"/>
      <c r="W25" s="121"/>
      <c r="X25" s="121"/>
      <c r="Y25" s="121"/>
      <c r="Z25" s="121"/>
      <c r="AA25" s="110"/>
      <c r="AB25" s="82"/>
      <c r="AC25"/>
      <c r="AD25"/>
      <c r="AE25"/>
      <c r="AF25"/>
      <c r="AG25"/>
    </row>
    <row r="26" spans="1:69" hidden="1">
      <c r="B26" s="110"/>
      <c r="C26" s="114"/>
      <c r="D26" s="110"/>
      <c r="E26" s="121"/>
      <c r="F26" s="121"/>
      <c r="G26" s="125"/>
      <c r="H26" s="121"/>
      <c r="I26" s="121"/>
      <c r="J26" s="121"/>
      <c r="K26" s="121"/>
      <c r="L26" s="121"/>
      <c r="M26" s="121"/>
      <c r="N26" s="121"/>
      <c r="O26" s="121"/>
      <c r="P26" s="121"/>
      <c r="Q26" s="121"/>
      <c r="R26" s="121"/>
      <c r="S26" s="121"/>
      <c r="T26" s="121"/>
      <c r="U26" s="121"/>
      <c r="V26" s="121"/>
      <c r="W26" s="121"/>
      <c r="X26" s="121"/>
      <c r="Y26" s="121"/>
      <c r="Z26" s="121"/>
      <c r="AA26" s="110"/>
      <c r="AB26" s="82"/>
      <c r="AC26"/>
      <c r="AD26"/>
      <c r="AE26"/>
      <c r="AF26"/>
      <c r="AG26"/>
    </row>
    <row r="27" spans="1:69">
      <c r="B27" s="126" t="s">
        <v>376</v>
      </c>
      <c r="G27" s="127"/>
      <c r="AB27" s="82"/>
    </row>
    <row r="28" spans="1:69" ht="15.75">
      <c r="A28" s="105" t="s">
        <v>349</v>
      </c>
      <c r="B28" s="43" t="s">
        <v>254</v>
      </c>
      <c r="C28" s="47"/>
      <c r="D28" s="47"/>
      <c r="E28" s="116">
        <v>2022</v>
      </c>
      <c r="F28" s="116">
        <f>+E28+1</f>
        <v>2023</v>
      </c>
      <c r="G28" s="117">
        <f>+F28+1</f>
        <v>2024</v>
      </c>
      <c r="H28" s="88">
        <f t="shared" ref="H28:P28" si="20">+G28+1</f>
        <v>2025</v>
      </c>
      <c r="I28" s="88">
        <f t="shared" si="20"/>
        <v>2026</v>
      </c>
      <c r="J28" s="88">
        <f t="shared" si="20"/>
        <v>2027</v>
      </c>
      <c r="K28" s="88">
        <f>+J28+1</f>
        <v>2028</v>
      </c>
      <c r="L28" s="88">
        <f t="shared" si="20"/>
        <v>2029</v>
      </c>
      <c r="M28" s="88">
        <f t="shared" si="20"/>
        <v>2030</v>
      </c>
      <c r="N28" s="88">
        <f t="shared" si="20"/>
        <v>2031</v>
      </c>
      <c r="O28" s="88">
        <f t="shared" si="20"/>
        <v>2032</v>
      </c>
      <c r="P28" s="88">
        <f t="shared" si="20"/>
        <v>2033</v>
      </c>
      <c r="Q28" s="88">
        <f t="shared" ref="Q28:Z28" si="21">+P28+1</f>
        <v>2034</v>
      </c>
      <c r="R28" s="88">
        <f t="shared" si="21"/>
        <v>2035</v>
      </c>
      <c r="S28" s="88">
        <f t="shared" si="21"/>
        <v>2036</v>
      </c>
      <c r="T28" s="88">
        <f t="shared" si="21"/>
        <v>2037</v>
      </c>
      <c r="U28" s="88">
        <f t="shared" si="21"/>
        <v>2038</v>
      </c>
      <c r="V28" s="88">
        <f t="shared" si="21"/>
        <v>2039</v>
      </c>
      <c r="W28" s="88">
        <f t="shared" si="21"/>
        <v>2040</v>
      </c>
      <c r="X28" s="88">
        <f t="shared" si="21"/>
        <v>2041</v>
      </c>
      <c r="Y28" s="88">
        <f t="shared" si="21"/>
        <v>2042</v>
      </c>
      <c r="Z28" s="88">
        <f t="shared" si="21"/>
        <v>2043</v>
      </c>
      <c r="AA28" s="128"/>
      <c r="AB28" s="106"/>
      <c r="AC28" s="106"/>
      <c r="AD28" s="106"/>
    </row>
    <row r="29" spans="1:69" ht="3.95" customHeight="1">
      <c r="B29" s="57"/>
      <c r="C29" s="57"/>
      <c r="D29" s="57"/>
      <c r="E29" s="57"/>
      <c r="F29" s="57"/>
      <c r="G29" s="118"/>
      <c r="H29" s="57"/>
      <c r="I29" s="57"/>
      <c r="J29" s="57"/>
      <c r="K29" s="57"/>
      <c r="L29" s="57"/>
      <c r="M29" s="57"/>
      <c r="N29" s="57"/>
      <c r="O29" s="57"/>
      <c r="P29" s="57"/>
      <c r="Q29" s="57"/>
      <c r="R29" s="57"/>
      <c r="S29" s="57"/>
      <c r="T29" s="57"/>
      <c r="U29" s="57"/>
      <c r="V29" s="57"/>
      <c r="W29" s="57"/>
      <c r="X29" s="57"/>
      <c r="Y29" s="57"/>
      <c r="Z29" s="57"/>
    </row>
    <row r="30" spans="1:69">
      <c r="B30" s="105" t="s">
        <v>377</v>
      </c>
      <c r="D30" s="275">
        <f>+_xlfn.XLOOKUP($B30,Inputs!$B:$B,Inputs!N:N)</f>
        <v>2099</v>
      </c>
      <c r="E30" s="130">
        <f>+_xlfn.XLOOKUP($B30,Inputs!$B:$B,Inputs!O:O)</f>
        <v>11131</v>
      </c>
      <c r="F30" s="130">
        <f>+_xlfn.XLOOKUP($B30,Inputs!$B:$B,Inputs!P:P)</f>
        <v>22042</v>
      </c>
      <c r="G30" s="246">
        <f>+_xlfn.XLOOKUP($B30,Inputs!$B:$B,Inputs!Q:Q)</f>
        <v>43073</v>
      </c>
      <c r="H30" s="131">
        <f t="shared" ref="H30:Z30" si="22">+G30*(1+H31)</f>
        <v>68916.800000000003</v>
      </c>
      <c r="I30" s="131">
        <f t="shared" si="22"/>
        <v>110266.88</v>
      </c>
      <c r="J30" s="131">
        <f t="shared" si="22"/>
        <v>165400.32000000001</v>
      </c>
      <c r="K30" s="131">
        <f t="shared" si="22"/>
        <v>248100.48000000001</v>
      </c>
      <c r="L30" s="131">
        <f t="shared" si="22"/>
        <v>372150.72000000003</v>
      </c>
      <c r="M30" s="131">
        <f t="shared" si="22"/>
        <v>521011.00800000003</v>
      </c>
      <c r="N30" s="131">
        <f t="shared" si="22"/>
        <v>729415.41119999997</v>
      </c>
      <c r="O30" s="131">
        <f t="shared" si="22"/>
        <v>1021181.5756799999</v>
      </c>
      <c r="P30" s="131">
        <f t="shared" si="22"/>
        <v>1327536.0483839998</v>
      </c>
      <c r="Q30" s="131">
        <f t="shared" si="22"/>
        <v>1725796.8628991998</v>
      </c>
      <c r="R30" s="131">
        <f t="shared" si="22"/>
        <v>2243535.9217689601</v>
      </c>
      <c r="S30" s="131">
        <f t="shared" si="22"/>
        <v>2804419.9022112</v>
      </c>
      <c r="T30" s="131">
        <f t="shared" si="22"/>
        <v>3505524.8777640001</v>
      </c>
      <c r="U30" s="131">
        <f t="shared" si="22"/>
        <v>4381906.097205</v>
      </c>
      <c r="V30" s="131">
        <f t="shared" si="22"/>
        <v>5477382.6215062495</v>
      </c>
      <c r="W30" s="131">
        <f t="shared" si="22"/>
        <v>6846728.2768828124</v>
      </c>
      <c r="X30" s="131">
        <f t="shared" si="22"/>
        <v>8216073.9322593743</v>
      </c>
      <c r="Y30" s="131">
        <f t="shared" si="22"/>
        <v>9859288.7187112495</v>
      </c>
      <c r="Z30" s="131">
        <f t="shared" si="22"/>
        <v>11831146.462453499</v>
      </c>
    </row>
    <row r="31" spans="1:69" s="254" customFormat="1" ht="14.25">
      <c r="B31" s="255" t="s">
        <v>378</v>
      </c>
      <c r="E31" s="257">
        <f>IFERROR((E30-D30)/D30,"")</f>
        <v>4.3030014292520251</v>
      </c>
      <c r="F31" s="257">
        <f t="shared" ref="F31:G31" si="23">IFERROR(F30/E30-1,"")</f>
        <v>0.98023537867217669</v>
      </c>
      <c r="G31" s="257">
        <f t="shared" si="23"/>
        <v>0.9541330187823247</v>
      </c>
      <c r="H31" s="257">
        <v>0.6</v>
      </c>
      <c r="I31" s="257">
        <v>0.6</v>
      </c>
      <c r="J31" s="257">
        <v>0.5</v>
      </c>
      <c r="K31" s="257">
        <v>0.5</v>
      </c>
      <c r="L31" s="257">
        <v>0.5</v>
      </c>
      <c r="M31" s="257">
        <v>0.4</v>
      </c>
      <c r="N31" s="257">
        <v>0.4</v>
      </c>
      <c r="O31" s="257">
        <v>0.4</v>
      </c>
      <c r="P31" s="257">
        <v>0.3</v>
      </c>
      <c r="Q31" s="257">
        <v>0.3</v>
      </c>
      <c r="R31" s="257">
        <v>0.3</v>
      </c>
      <c r="S31" s="257">
        <v>0.25</v>
      </c>
      <c r="T31" s="257">
        <v>0.25</v>
      </c>
      <c r="U31" s="257">
        <v>0.25</v>
      </c>
      <c r="V31" s="257">
        <v>0.25</v>
      </c>
      <c r="W31" s="257">
        <v>0.25</v>
      </c>
      <c r="X31" s="257">
        <v>0.2</v>
      </c>
      <c r="Y31" s="257">
        <v>0.2</v>
      </c>
      <c r="Z31" s="257">
        <v>0.2</v>
      </c>
    </row>
    <row r="32" spans="1:69" ht="3.75" customHeight="1">
      <c r="B32" s="132"/>
      <c r="E32" s="134"/>
      <c r="F32" s="134"/>
      <c r="G32" s="135"/>
      <c r="H32" s="133"/>
      <c r="I32" s="133"/>
      <c r="J32" s="133"/>
      <c r="K32" s="133"/>
      <c r="L32" s="133"/>
      <c r="O32" s="136"/>
      <c r="P32" s="136"/>
      <c r="Q32" s="136"/>
      <c r="R32" s="136"/>
      <c r="S32" s="136"/>
      <c r="T32" s="136"/>
      <c r="U32" s="136"/>
      <c r="V32" s="136"/>
      <c r="W32" s="136"/>
      <c r="X32" s="136"/>
      <c r="Y32" s="136"/>
      <c r="Z32" s="136"/>
    </row>
    <row r="33" spans="2:26">
      <c r="B33" s="253" t="s">
        <v>258</v>
      </c>
      <c r="E33" s="130">
        <f>+_xlfn.XLOOKUP($B33,Inputs!$B:$B,Inputs!O:O)</f>
        <v>2944</v>
      </c>
      <c r="F33" s="130">
        <f>+_xlfn.XLOOKUP($B33,Inputs!$B:$B,Inputs!P:P)</f>
        <v>8108</v>
      </c>
      <c r="G33" s="246">
        <f>+_xlfn.XLOOKUP($B33,Inputs!$B:$B,Inputs!Q:Q)</f>
        <v>20597</v>
      </c>
      <c r="H33" s="137">
        <f>H34*H$30</f>
        <v>32955.200000000004</v>
      </c>
      <c r="I33" s="137">
        <f t="shared" ref="I33:P33" si="24">I34*I$30</f>
        <v>52728.32</v>
      </c>
      <c r="J33" s="137">
        <f t="shared" si="24"/>
        <v>79092.48000000001</v>
      </c>
      <c r="K33" s="137">
        <f t="shared" si="24"/>
        <v>118638.72</v>
      </c>
      <c r="L33" s="137">
        <f t="shared" si="24"/>
        <v>177958.08000000002</v>
      </c>
      <c r="M33" s="137">
        <f t="shared" si="24"/>
        <v>249141.31200000001</v>
      </c>
      <c r="N33" s="137">
        <f t="shared" si="24"/>
        <v>348797.83679999999</v>
      </c>
      <c r="O33" s="137">
        <f t="shared" si="24"/>
        <v>488316.97151999996</v>
      </c>
      <c r="P33" s="137">
        <f t="shared" si="24"/>
        <v>634812.0629759999</v>
      </c>
      <c r="Q33" s="137">
        <f t="shared" ref="Q33:Z33" si="25">Q34*Q$30</f>
        <v>825255.68186879996</v>
      </c>
      <c r="R33" s="137">
        <f t="shared" si="25"/>
        <v>1072832.38642944</v>
      </c>
      <c r="S33" s="137">
        <f t="shared" si="25"/>
        <v>1341040.4830368001</v>
      </c>
      <c r="T33" s="137">
        <f t="shared" si="25"/>
        <v>1676300.6037960001</v>
      </c>
      <c r="U33" s="137">
        <f t="shared" si="25"/>
        <v>2095375.754745</v>
      </c>
      <c r="V33" s="137">
        <f t="shared" si="25"/>
        <v>2619219.6934312498</v>
      </c>
      <c r="W33" s="137">
        <f t="shared" si="25"/>
        <v>3274024.6167890625</v>
      </c>
      <c r="X33" s="137">
        <f t="shared" si="25"/>
        <v>3928829.5401468747</v>
      </c>
      <c r="Y33" s="137">
        <f t="shared" si="25"/>
        <v>4714595.4481762499</v>
      </c>
      <c r="Z33" s="137">
        <f t="shared" si="25"/>
        <v>5657514.5378115</v>
      </c>
    </row>
    <row r="34" spans="2:26" s="254" customFormat="1" ht="14.25">
      <c r="B34" s="261" t="s">
        <v>379</v>
      </c>
      <c r="E34" s="256">
        <f>IFERROR(E33/E$30,"")</f>
        <v>0.26448656904141588</v>
      </c>
      <c r="F34" s="256">
        <f>IFERROR(F33/F$30,"")</f>
        <v>0.36784320842028856</v>
      </c>
      <c r="G34" s="258">
        <f>IFERROR(G33/G$30,"")</f>
        <v>0.47818819213892694</v>
      </c>
      <c r="H34" s="276">
        <f t="shared" ref="H34:Z34" si="26">+G34</f>
        <v>0.47818819213892694</v>
      </c>
      <c r="I34" s="276">
        <f t="shared" si="26"/>
        <v>0.47818819213892694</v>
      </c>
      <c r="J34" s="276">
        <f t="shared" si="26"/>
        <v>0.47818819213892694</v>
      </c>
      <c r="K34" s="276">
        <f t="shared" si="26"/>
        <v>0.47818819213892694</v>
      </c>
      <c r="L34" s="276">
        <f t="shared" si="26"/>
        <v>0.47818819213892694</v>
      </c>
      <c r="M34" s="276">
        <f t="shared" si="26"/>
        <v>0.47818819213892694</v>
      </c>
      <c r="N34" s="276">
        <f t="shared" si="26"/>
        <v>0.47818819213892694</v>
      </c>
      <c r="O34" s="276">
        <f t="shared" si="26"/>
        <v>0.47818819213892694</v>
      </c>
      <c r="P34" s="276">
        <f t="shared" si="26"/>
        <v>0.47818819213892694</v>
      </c>
      <c r="Q34" s="276">
        <f t="shared" si="26"/>
        <v>0.47818819213892694</v>
      </c>
      <c r="R34" s="276">
        <f t="shared" si="26"/>
        <v>0.47818819213892694</v>
      </c>
      <c r="S34" s="276">
        <f t="shared" si="26"/>
        <v>0.47818819213892694</v>
      </c>
      <c r="T34" s="276">
        <f t="shared" si="26"/>
        <v>0.47818819213892694</v>
      </c>
      <c r="U34" s="276">
        <f t="shared" si="26"/>
        <v>0.47818819213892694</v>
      </c>
      <c r="V34" s="276">
        <f t="shared" si="26"/>
        <v>0.47818819213892694</v>
      </c>
      <c r="W34" s="276">
        <f t="shared" si="26"/>
        <v>0.47818819213892694</v>
      </c>
      <c r="X34" s="276">
        <f t="shared" si="26"/>
        <v>0.47818819213892694</v>
      </c>
      <c r="Y34" s="276">
        <f t="shared" si="26"/>
        <v>0.47818819213892694</v>
      </c>
      <c r="Z34" s="276">
        <f t="shared" si="26"/>
        <v>0.47818819213892694</v>
      </c>
    </row>
    <row r="35" spans="2:26" ht="5.25" customHeight="1">
      <c r="B35" s="132"/>
      <c r="E35" s="134"/>
      <c r="F35" s="134"/>
      <c r="G35" s="135"/>
      <c r="H35" s="140"/>
      <c r="I35" s="140"/>
      <c r="J35" s="140"/>
      <c r="K35" s="140"/>
      <c r="L35" s="140"/>
      <c r="M35" s="140"/>
      <c r="N35" s="140"/>
      <c r="O35" s="140"/>
      <c r="P35" s="140"/>
      <c r="Q35" s="140"/>
      <c r="R35" s="140"/>
      <c r="S35" s="140"/>
      <c r="T35" s="140"/>
      <c r="U35" s="140"/>
      <c r="V35" s="140"/>
      <c r="W35" s="140"/>
      <c r="X35" s="140"/>
      <c r="Y35" s="140"/>
      <c r="Z35" s="140"/>
    </row>
    <row r="36" spans="2:26">
      <c r="B36" s="105" t="s">
        <v>259</v>
      </c>
      <c r="E36" s="130">
        <f>+_xlfn.XLOOKUP($B36,Inputs!$B:$B,Inputs!O:O)</f>
        <v>8187</v>
      </c>
      <c r="F36" s="130">
        <f>+_xlfn.XLOOKUP($B36,Inputs!$B:$B,Inputs!P:P)</f>
        <v>13934</v>
      </c>
      <c r="G36" s="246">
        <f>+_xlfn.XLOOKUP($B36,Inputs!$B:$B,Inputs!Q:Q)</f>
        <v>22476</v>
      </c>
      <c r="H36" s="137">
        <f t="shared" ref="H36:Z36" si="27">+H30-H33</f>
        <v>35961.599999999999</v>
      </c>
      <c r="I36" s="137">
        <f t="shared" si="27"/>
        <v>57538.560000000005</v>
      </c>
      <c r="J36" s="137">
        <f t="shared" si="27"/>
        <v>86307.839999999997</v>
      </c>
      <c r="K36" s="137">
        <f t="shared" si="27"/>
        <v>129461.76000000001</v>
      </c>
      <c r="L36" s="137">
        <f t="shared" si="27"/>
        <v>194192.64000000001</v>
      </c>
      <c r="M36" s="137">
        <f t="shared" si="27"/>
        <v>271869.696</v>
      </c>
      <c r="N36" s="137">
        <f t="shared" si="27"/>
        <v>380617.57439999998</v>
      </c>
      <c r="O36" s="137">
        <f t="shared" si="27"/>
        <v>532864.60415999987</v>
      </c>
      <c r="P36" s="137">
        <f t="shared" si="27"/>
        <v>692723.98540799995</v>
      </c>
      <c r="Q36" s="137">
        <f t="shared" si="27"/>
        <v>900541.18103039986</v>
      </c>
      <c r="R36" s="137">
        <f t="shared" si="27"/>
        <v>1170703.5353395201</v>
      </c>
      <c r="S36" s="137">
        <f t="shared" si="27"/>
        <v>1463379.4191743999</v>
      </c>
      <c r="T36" s="137">
        <f t="shared" si="27"/>
        <v>1829224.273968</v>
      </c>
      <c r="U36" s="137">
        <f t="shared" si="27"/>
        <v>2286530.34246</v>
      </c>
      <c r="V36" s="137">
        <f t="shared" si="27"/>
        <v>2858162.9280749997</v>
      </c>
      <c r="W36" s="137">
        <f t="shared" si="27"/>
        <v>3572703.6600937499</v>
      </c>
      <c r="X36" s="137">
        <f t="shared" si="27"/>
        <v>4287244.3921124991</v>
      </c>
      <c r="Y36" s="137">
        <f t="shared" si="27"/>
        <v>5144693.2705349997</v>
      </c>
      <c r="Z36" s="137">
        <f t="shared" si="27"/>
        <v>6173631.9246419994</v>
      </c>
    </row>
    <row r="37" spans="2:26" s="254" customFormat="1" ht="14.25">
      <c r="B37" s="254" t="s">
        <v>39</v>
      </c>
      <c r="E37" s="256" t="str">
        <f>IFERROR((E36/D$36)-1,"")</f>
        <v/>
      </c>
      <c r="F37" s="265">
        <f>IFERROR((F36/E$36)-1,"")</f>
        <v>0.70196653230731654</v>
      </c>
      <c r="G37" s="266">
        <f>IFERROR((G36/F$36)-1,"")</f>
        <v>0.6130328692407061</v>
      </c>
      <c r="H37" s="265">
        <f t="shared" ref="H37:Z37" si="28">IFERROR(H36/H$30,"")</f>
        <v>0.52181180786107306</v>
      </c>
      <c r="I37" s="265">
        <f t="shared" si="28"/>
        <v>0.52181180786107306</v>
      </c>
      <c r="J37" s="265">
        <f t="shared" si="28"/>
        <v>0.52181180786107306</v>
      </c>
      <c r="K37" s="265">
        <f t="shared" si="28"/>
        <v>0.52181180786107306</v>
      </c>
      <c r="L37" s="265">
        <f t="shared" si="28"/>
        <v>0.52181180786107306</v>
      </c>
      <c r="M37" s="265">
        <f t="shared" si="28"/>
        <v>0.52181180786107306</v>
      </c>
      <c r="N37" s="265">
        <f t="shared" si="28"/>
        <v>0.52181180786107306</v>
      </c>
      <c r="O37" s="265">
        <f t="shared" si="28"/>
        <v>0.52181180786107295</v>
      </c>
      <c r="P37" s="265">
        <f t="shared" si="28"/>
        <v>0.52181180786107306</v>
      </c>
      <c r="Q37" s="265">
        <f t="shared" si="28"/>
        <v>0.52181180786107306</v>
      </c>
      <c r="R37" s="265">
        <f t="shared" si="28"/>
        <v>0.52181180786107306</v>
      </c>
      <c r="S37" s="265">
        <f t="shared" si="28"/>
        <v>0.52181180786107306</v>
      </c>
      <c r="T37" s="265">
        <f t="shared" si="28"/>
        <v>0.52181180786107306</v>
      </c>
      <c r="U37" s="265">
        <f t="shared" si="28"/>
        <v>0.52181180786107306</v>
      </c>
      <c r="V37" s="265">
        <f t="shared" si="28"/>
        <v>0.52181180786107306</v>
      </c>
      <c r="W37" s="265">
        <f t="shared" si="28"/>
        <v>0.52181180786107306</v>
      </c>
      <c r="X37" s="265">
        <f t="shared" si="28"/>
        <v>0.52181180786107295</v>
      </c>
      <c r="Y37" s="265">
        <f t="shared" si="28"/>
        <v>0.52181180786107306</v>
      </c>
      <c r="Z37" s="265">
        <f t="shared" si="28"/>
        <v>0.52181180786107306</v>
      </c>
    </row>
    <row r="38" spans="2:26" ht="3.75" customHeight="1">
      <c r="G38" s="127"/>
      <c r="H38" s="110"/>
      <c r="I38" s="110"/>
      <c r="J38" s="110"/>
      <c r="K38" s="110"/>
      <c r="L38" s="110"/>
      <c r="O38" s="110"/>
      <c r="P38" s="110"/>
      <c r="Q38" s="110"/>
      <c r="R38" s="110"/>
      <c r="S38" s="110"/>
      <c r="T38" s="110"/>
      <c r="U38" s="110"/>
      <c r="V38" s="110"/>
      <c r="W38" s="110"/>
      <c r="X38" s="110"/>
      <c r="Y38" s="110"/>
      <c r="Z38" s="110"/>
    </row>
    <row r="39" spans="2:26" ht="14.25" customHeight="1">
      <c r="B39" s="253" t="s">
        <v>380</v>
      </c>
      <c r="C39" s="840"/>
      <c r="E39" s="130">
        <f>+_xlfn.XLOOKUP($B39,Inputs!$B:$B,Inputs!O:O)</f>
        <v>44351</v>
      </c>
      <c r="F39" s="130">
        <f>+_xlfn.XLOOKUP($B39,Inputs!$B:$B,Inputs!P:P)</f>
        <v>68992</v>
      </c>
      <c r="G39" s="246">
        <f>+_xlfn.XLOOKUP($B39,Inputs!$B:$B,Inputs!Q:Q)</f>
        <v>99450</v>
      </c>
      <c r="H39" s="137">
        <f>+G39*(1+H31/8)</f>
        <v>106908.75</v>
      </c>
      <c r="I39" s="137">
        <f t="shared" ref="I39:Z39" si="29">+H39*(1+I31/8)</f>
        <v>114926.90625</v>
      </c>
      <c r="J39" s="137">
        <f t="shared" si="29"/>
        <v>122109.837890625</v>
      </c>
      <c r="K39" s="137">
        <f>+J39*(1+K31/8)</f>
        <v>129741.70275878906</v>
      </c>
      <c r="L39" s="137">
        <f t="shared" si="29"/>
        <v>137850.55918121338</v>
      </c>
      <c r="M39" s="137">
        <f t="shared" si="29"/>
        <v>144743.08714027406</v>
      </c>
      <c r="N39" s="137">
        <f t="shared" si="29"/>
        <v>151980.24149728776</v>
      </c>
      <c r="O39" s="137">
        <f t="shared" si="29"/>
        <v>159579.25357215214</v>
      </c>
      <c r="P39" s="137">
        <f t="shared" si="29"/>
        <v>165563.47558110786</v>
      </c>
      <c r="Q39" s="137">
        <f t="shared" si="29"/>
        <v>171772.10591539941</v>
      </c>
      <c r="R39" s="137">
        <f t="shared" si="29"/>
        <v>178213.5598872269</v>
      </c>
      <c r="S39" s="137">
        <f t="shared" si="29"/>
        <v>183782.73363370274</v>
      </c>
      <c r="T39" s="137">
        <f t="shared" si="29"/>
        <v>189525.94405975594</v>
      </c>
      <c r="U39" s="137">
        <f t="shared" si="29"/>
        <v>195448.62981162331</v>
      </c>
      <c r="V39" s="137">
        <f t="shared" si="29"/>
        <v>201556.39949323653</v>
      </c>
      <c r="W39" s="137">
        <f t="shared" si="29"/>
        <v>207855.03697740016</v>
      </c>
      <c r="X39" s="137">
        <f t="shared" si="29"/>
        <v>213051.41290183514</v>
      </c>
      <c r="Y39" s="137">
        <f t="shared" si="29"/>
        <v>218377.69822438099</v>
      </c>
      <c r="Z39" s="137">
        <f t="shared" si="29"/>
        <v>223837.14067999049</v>
      </c>
    </row>
    <row r="40" spans="2:26" s="254" customFormat="1" ht="14.25">
      <c r="B40" s="261" t="s">
        <v>381</v>
      </c>
      <c r="E40" s="256" t="str">
        <f>IFERROR(E39/D$39,"")</f>
        <v/>
      </c>
      <c r="F40" s="256">
        <f>IFERROR((F39/E$39)-1,"")</f>
        <v>0.55559062929809921</v>
      </c>
      <c r="G40" s="266">
        <f>IFERROR((G39/F$39)-1,"")</f>
        <v>0.44147147495361772</v>
      </c>
      <c r="H40" s="265">
        <f>+H31/H41</f>
        <v>0.23453987788470831</v>
      </c>
      <c r="I40" s="265">
        <f t="shared" ref="I40:Z40" si="30">+I31/I41</f>
        <v>0.20339851630732927</v>
      </c>
      <c r="J40" s="265">
        <f t="shared" si="30"/>
        <v>0.14963126261517412</v>
      </c>
      <c r="K40" s="265">
        <f t="shared" si="30"/>
        <v>0.13393258860564569</v>
      </c>
      <c r="L40" s="265">
        <f t="shared" si="30"/>
        <v>0.12121520607531111</v>
      </c>
      <c r="M40" s="265">
        <f t="shared" si="30"/>
        <v>8.856280681012732E-2</v>
      </c>
      <c r="N40" s="265">
        <f t="shared" si="30"/>
        <v>8.1495568343441488E-2</v>
      </c>
      <c r="O40" s="265">
        <f t="shared" si="30"/>
        <v>7.5472894049039146E-2</v>
      </c>
      <c r="P40" s="265">
        <f t="shared" si="30"/>
        <v>5.2709351299215494E-2</v>
      </c>
      <c r="Q40" s="265">
        <f t="shared" si="30"/>
        <v>4.9315635847673095E-2</v>
      </c>
      <c r="R40" s="265">
        <f t="shared" si="30"/>
        <v>4.6332497044897655E-2</v>
      </c>
      <c r="S40" s="265">
        <f t="shared" si="30"/>
        <v>3.6408063851262183E-2</v>
      </c>
      <c r="T40" s="265">
        <f t="shared" si="30"/>
        <v>3.4443401247813671E-2</v>
      </c>
      <c r="U40" s="265">
        <f t="shared" si="30"/>
        <v>3.2679917945499515E-2</v>
      </c>
      <c r="V40" s="265">
        <f t="shared" si="30"/>
        <v>3.1088218180829158E-2</v>
      </c>
      <c r="W40" s="265">
        <f t="shared" si="30"/>
        <v>2.9644367179078437E-2</v>
      </c>
      <c r="X40" s="265">
        <f t="shared" si="30"/>
        <v>2.2662943436485512E-2</v>
      </c>
      <c r="Y40" s="265">
        <f t="shared" si="30"/>
        <v>2.1699852123406652E-2</v>
      </c>
      <c r="Z40" s="265">
        <f t="shared" si="30"/>
        <v>0.02</v>
      </c>
    </row>
    <row r="41" spans="2:26" s="254" customFormat="1" ht="14.25">
      <c r="B41" s="261" t="s">
        <v>382</v>
      </c>
      <c r="E41" s="256"/>
      <c r="F41" s="843">
        <f>+F31/F40</f>
        <v>1.7643122957465083</v>
      </c>
      <c r="G41" s="844">
        <f>+G31/G40</f>
        <v>2.1612563277900767</v>
      </c>
      <c r="H41" s="842">
        <f>+G41+(G41-F41)</f>
        <v>2.5582003598336449</v>
      </c>
      <c r="I41" s="842">
        <f t="shared" ref="I41:Y41" si="31">+H41+($Z$41-$H$41)/($Z$28-$G$28)</f>
        <v>2.9498740251055584</v>
      </c>
      <c r="J41" s="842">
        <f t="shared" si="31"/>
        <v>3.3415476903774719</v>
      </c>
      <c r="K41" s="842">
        <f t="shared" si="31"/>
        <v>3.7332213556493854</v>
      </c>
      <c r="L41" s="842">
        <f t="shared" si="31"/>
        <v>4.1248950209212989</v>
      </c>
      <c r="M41" s="842">
        <f t="shared" si="31"/>
        <v>4.5165686861932119</v>
      </c>
      <c r="N41" s="842">
        <f t="shared" si="31"/>
        <v>4.908242351465125</v>
      </c>
      <c r="O41" s="842">
        <f t="shared" si="31"/>
        <v>5.299916016737038</v>
      </c>
      <c r="P41" s="842">
        <f t="shared" si="31"/>
        <v>5.6915896820089511</v>
      </c>
      <c r="Q41" s="842">
        <f t="shared" si="31"/>
        <v>6.0832633472808642</v>
      </c>
      <c r="R41" s="842">
        <f t="shared" si="31"/>
        <v>6.4749370125527772</v>
      </c>
      <c r="S41" s="842">
        <f t="shared" si="31"/>
        <v>6.8666106778246903</v>
      </c>
      <c r="T41" s="842">
        <f t="shared" si="31"/>
        <v>7.2582843430966033</v>
      </c>
      <c r="U41" s="842">
        <f t="shared" si="31"/>
        <v>7.6499580083685164</v>
      </c>
      <c r="V41" s="842">
        <f t="shared" si="31"/>
        <v>8.0416316736404294</v>
      </c>
      <c r="W41" s="842">
        <f t="shared" si="31"/>
        <v>8.4333053389123425</v>
      </c>
      <c r="X41" s="842">
        <f t="shared" si="31"/>
        <v>8.8249790041842555</v>
      </c>
      <c r="Y41" s="842">
        <f t="shared" si="31"/>
        <v>9.2166526694561686</v>
      </c>
      <c r="Z41" s="842">
        <v>10</v>
      </c>
    </row>
    <row r="42" spans="2:26" s="254" customFormat="1" ht="3.75" customHeight="1">
      <c r="B42" s="261"/>
      <c r="E42" s="256"/>
      <c r="F42" s="256"/>
      <c r="G42" s="266"/>
      <c r="H42" s="265"/>
      <c r="I42" s="265"/>
      <c r="J42" s="265"/>
      <c r="K42" s="265"/>
      <c r="L42" s="265"/>
      <c r="M42" s="265"/>
      <c r="N42" s="265"/>
      <c r="O42" s="265"/>
      <c r="P42" s="265"/>
      <c r="Q42" s="265"/>
      <c r="R42" s="265"/>
      <c r="S42" s="265"/>
      <c r="T42" s="265"/>
      <c r="U42" s="265"/>
      <c r="V42" s="265"/>
      <c r="W42" s="265"/>
      <c r="X42" s="265"/>
      <c r="Y42" s="265"/>
      <c r="Z42" s="265"/>
    </row>
    <row r="43" spans="2:26">
      <c r="B43" s="253" t="s">
        <v>266</v>
      </c>
      <c r="E43" s="130">
        <f>+_xlfn.XLOOKUP($B43,Inputs!$B:$B,Inputs!O:O)</f>
        <v>43978</v>
      </c>
      <c r="F43" s="130">
        <f>+_xlfn.XLOOKUP($B43,Inputs!$B:$B,Inputs!P:P)</f>
        <v>92321</v>
      </c>
      <c r="G43" s="246">
        <f>+_xlfn.XLOOKUP($B43,Inputs!$B:$B,Inputs!Q:Q)</f>
        <v>136827</v>
      </c>
      <c r="H43" s="137">
        <f>(H44+1)*G43</f>
        <v>191557.8</v>
      </c>
      <c r="I43" s="137">
        <f t="shared" ref="I43:Z43" si="32">(I44+1)*H43</f>
        <v>258603.03</v>
      </c>
      <c r="J43" s="137">
        <f t="shared" si="32"/>
        <v>336183.93900000001</v>
      </c>
      <c r="K43" s="137">
        <f t="shared" si="32"/>
        <v>437039.12070000003</v>
      </c>
      <c r="L43" s="137">
        <f t="shared" si="32"/>
        <v>524446.94484000001</v>
      </c>
      <c r="M43" s="137">
        <f t="shared" si="32"/>
        <v>603113.98656599992</v>
      </c>
      <c r="N43" s="137">
        <f t="shared" si="32"/>
        <v>663425.38522259996</v>
      </c>
      <c r="O43" s="137">
        <f t="shared" si="32"/>
        <v>713182.28911429492</v>
      </c>
      <c r="P43" s="137">
        <f t="shared" si="32"/>
        <v>750773.66493159893</v>
      </c>
      <c r="Q43" s="137">
        <f t="shared" si="32"/>
        <v>787798.54559538863</v>
      </c>
      <c r="R43" s="137">
        <f t="shared" si="32"/>
        <v>824299.21938116173</v>
      </c>
      <c r="S43" s="137">
        <f t="shared" si="32"/>
        <v>854310.35799293674</v>
      </c>
      <c r="T43" s="137">
        <f t="shared" si="32"/>
        <v>883735.71244345082</v>
      </c>
      <c r="U43" s="137">
        <f t="shared" si="32"/>
        <v>912616.12301161035</v>
      </c>
      <c r="V43" s="137">
        <f t="shared" si="32"/>
        <v>940987.73215913773</v>
      </c>
      <c r="W43" s="137">
        <f t="shared" si="32"/>
        <v>968882.71800227161</v>
      </c>
      <c r="X43" s="137">
        <f t="shared" si="32"/>
        <v>990840.45223694551</v>
      </c>
      <c r="Y43" s="137">
        <f t="shared" si="32"/>
        <v>1012341.5435283766</v>
      </c>
      <c r="Z43" s="137">
        <f t="shared" si="32"/>
        <v>1032588.3743989442</v>
      </c>
    </row>
    <row r="44" spans="2:26" s="254" customFormat="1" ht="14.25">
      <c r="B44" s="261" t="s">
        <v>381</v>
      </c>
      <c r="E44" s="256" t="str">
        <f>IFERROR((E43/D$43)-1,"")</f>
        <v/>
      </c>
      <c r="F44" s="852">
        <f t="shared" ref="F44" si="33">+F31/F41</f>
        <v>0.55559062929809921</v>
      </c>
      <c r="G44" s="852">
        <f>+G31/G41</f>
        <v>0.44147147495361772</v>
      </c>
      <c r="H44" s="276">
        <v>0.4</v>
      </c>
      <c r="I44" s="276">
        <v>0.35</v>
      </c>
      <c r="J44" s="276">
        <v>0.3</v>
      </c>
      <c r="K44" s="276">
        <v>0.3</v>
      </c>
      <c r="L44" s="276">
        <v>0.2</v>
      </c>
      <c r="M44" s="276">
        <v>0.15</v>
      </c>
      <c r="N44" s="276">
        <v>0.1</v>
      </c>
      <c r="O44" s="276">
        <v>7.4999999999999997E-2</v>
      </c>
      <c r="P44" s="276">
        <f>+P31/P41</f>
        <v>5.2709351299215494E-2</v>
      </c>
      <c r="Q44" s="276">
        <f t="shared" ref="Q44:Z44" si="34">+Q31/Q41</f>
        <v>4.9315635847673095E-2</v>
      </c>
      <c r="R44" s="276">
        <f t="shared" si="34"/>
        <v>4.6332497044897655E-2</v>
      </c>
      <c r="S44" s="276">
        <f t="shared" si="34"/>
        <v>3.6408063851262183E-2</v>
      </c>
      <c r="T44" s="276">
        <f t="shared" si="34"/>
        <v>3.4443401247813671E-2</v>
      </c>
      <c r="U44" s="276">
        <f>+U31/U41</f>
        <v>3.2679917945499515E-2</v>
      </c>
      <c r="V44" s="276">
        <f t="shared" si="34"/>
        <v>3.1088218180829158E-2</v>
      </c>
      <c r="W44" s="276">
        <f t="shared" si="34"/>
        <v>2.9644367179078437E-2</v>
      </c>
      <c r="X44" s="276">
        <f t="shared" si="34"/>
        <v>2.2662943436485512E-2</v>
      </c>
      <c r="Y44" s="276">
        <f t="shared" si="34"/>
        <v>2.1699852123406652E-2</v>
      </c>
      <c r="Z44" s="276">
        <f t="shared" si="34"/>
        <v>0.02</v>
      </c>
    </row>
    <row r="45" spans="2:26" s="221" customFormat="1" ht="5.25" customHeight="1">
      <c r="B45" s="132"/>
      <c r="E45" s="248"/>
      <c r="F45" s="248"/>
      <c r="G45" s="249"/>
      <c r="H45" s="250"/>
      <c r="I45" s="250"/>
      <c r="J45" s="250"/>
      <c r="K45" s="250"/>
      <c r="L45" s="250"/>
      <c r="O45" s="251"/>
      <c r="P45" s="251"/>
      <c r="Q45" s="251"/>
      <c r="R45" s="251"/>
      <c r="S45" s="251"/>
      <c r="T45" s="251"/>
      <c r="U45" s="251"/>
      <c r="V45" s="251"/>
      <c r="W45" s="251"/>
      <c r="X45" s="251"/>
      <c r="Y45" s="251"/>
      <c r="Z45" s="251"/>
    </row>
    <row r="46" spans="2:26">
      <c r="B46" s="846" t="s">
        <v>383</v>
      </c>
      <c r="E46" s="130">
        <f>+_xlfn.XLOOKUP($B46,Inputs!$B:$B,Inputs!O:O)</f>
        <v>0</v>
      </c>
      <c r="F46" s="130">
        <f>+_xlfn.XLOOKUP($B46,Inputs!$B:$B,Inputs!P:P)</f>
        <v>0</v>
      </c>
      <c r="G46" s="246">
        <f>+_xlfn.XLOOKUP($B46,Inputs!$B:$B,Inputs!Q:Q)</f>
        <v>0</v>
      </c>
      <c r="H46" s="148">
        <f t="shared" ref="H46:Z46" si="35">+H30*0.01</f>
        <v>689.16800000000001</v>
      </c>
      <c r="I46" s="148">
        <f t="shared" si="35"/>
        <v>1102.6688000000001</v>
      </c>
      <c r="J46" s="148">
        <f t="shared" si="35"/>
        <v>1654.0032000000001</v>
      </c>
      <c r="K46" s="148">
        <f t="shared" si="35"/>
        <v>2481.0048000000002</v>
      </c>
      <c r="L46" s="148">
        <f t="shared" si="35"/>
        <v>3721.5072000000005</v>
      </c>
      <c r="M46" s="148">
        <f t="shared" si="35"/>
        <v>5210.1100800000004</v>
      </c>
      <c r="N46" s="148">
        <f t="shared" si="35"/>
        <v>7294.1541120000002</v>
      </c>
      <c r="O46" s="148">
        <f t="shared" si="35"/>
        <v>10211.815756799999</v>
      </c>
      <c r="P46" s="148">
        <f t="shared" si="35"/>
        <v>13275.360483839999</v>
      </c>
      <c r="Q46" s="148">
        <f t="shared" si="35"/>
        <v>17257.968628991999</v>
      </c>
      <c r="R46" s="148">
        <f t="shared" si="35"/>
        <v>22435.359217689602</v>
      </c>
      <c r="S46" s="148">
        <f t="shared" si="35"/>
        <v>28044.199022112</v>
      </c>
      <c r="T46" s="148">
        <f t="shared" si="35"/>
        <v>35055.248777640001</v>
      </c>
      <c r="U46" s="148">
        <f t="shared" si="35"/>
        <v>43819.06097205</v>
      </c>
      <c r="V46" s="148">
        <f t="shared" si="35"/>
        <v>54773.826215062494</v>
      </c>
      <c r="W46" s="148">
        <f t="shared" si="35"/>
        <v>68467.282768828125</v>
      </c>
      <c r="X46" s="148">
        <f t="shared" si="35"/>
        <v>82160.739322593741</v>
      </c>
      <c r="Y46" s="148">
        <f t="shared" si="35"/>
        <v>98592.887187112501</v>
      </c>
      <c r="Z46" s="148">
        <f t="shared" si="35"/>
        <v>118311.464624535</v>
      </c>
    </row>
    <row r="47" spans="2:26" ht="5.25" customHeight="1">
      <c r="B47" s="178"/>
      <c r="E47" s="130"/>
      <c r="F47" s="130"/>
      <c r="G47" s="246"/>
      <c r="H47" s="137">
        <f>IFERROR(AVERAGE(E46:G46)*(1+H31),"")</f>
        <v>0</v>
      </c>
      <c r="I47" s="140"/>
      <c r="J47" s="140"/>
      <c r="K47" s="140"/>
      <c r="L47" s="140"/>
      <c r="O47" s="139"/>
      <c r="P47" s="139"/>
      <c r="Q47" s="139"/>
      <c r="R47" s="139"/>
      <c r="S47" s="139"/>
      <c r="T47" s="139"/>
      <c r="U47" s="139"/>
      <c r="V47" s="139"/>
      <c r="W47" s="139"/>
      <c r="X47" s="139"/>
      <c r="Y47" s="139"/>
      <c r="Z47" s="139"/>
    </row>
    <row r="48" spans="2:26">
      <c r="B48" s="178" t="s">
        <v>206</v>
      </c>
      <c r="E48" s="130">
        <f>+_xlfn.XLOOKUP($B48,Inputs!$B:$B,Inputs!O:O)</f>
        <v>-80142</v>
      </c>
      <c r="F48" s="130">
        <f>+_xlfn.XLOOKUP($B48,Inputs!$B:$B,Inputs!P:P)</f>
        <v>-147379</v>
      </c>
      <c r="G48" s="246">
        <f>+_xlfn.XLOOKUP($B48,Inputs!$B:$B,Inputs!Q:Q)</f>
        <v>-213801</v>
      </c>
      <c r="H48" s="137">
        <f>IFERROR(H36-H39-H43-H47,"")</f>
        <v>-262504.94999999995</v>
      </c>
      <c r="I48" s="137">
        <f t="shared" ref="I48:Z48" si="36">IFERROR(I36-I39-I43-I46,"")</f>
        <v>-317094.04504999996</v>
      </c>
      <c r="J48" s="137">
        <f t="shared" si="36"/>
        <v>-373639.94009062502</v>
      </c>
      <c r="K48" s="137">
        <f t="shared" si="36"/>
        <v>-439800.06825878908</v>
      </c>
      <c r="L48" s="137">
        <f t="shared" si="36"/>
        <v>-471826.37122121337</v>
      </c>
      <c r="M48" s="137">
        <f t="shared" si="36"/>
        <v>-481197.487786274</v>
      </c>
      <c r="N48" s="137">
        <f t="shared" si="36"/>
        <v>-442082.20643188775</v>
      </c>
      <c r="O48" s="137">
        <f t="shared" si="36"/>
        <v>-350108.75428324717</v>
      </c>
      <c r="P48" s="137">
        <f t="shared" si="36"/>
        <v>-236888.51558854687</v>
      </c>
      <c r="Q48" s="137">
        <f t="shared" si="36"/>
        <v>-76287.439109380153</v>
      </c>
      <c r="R48" s="137">
        <f t="shared" si="36"/>
        <v>145755.39685344184</v>
      </c>
      <c r="S48" s="137">
        <f t="shared" si="36"/>
        <v>397242.12852564832</v>
      </c>
      <c r="T48" s="137">
        <f t="shared" si="36"/>
        <v>720907.36868715321</v>
      </c>
      <c r="U48" s="137">
        <f t="shared" si="36"/>
        <v>1134646.5286647163</v>
      </c>
      <c r="V48" s="137">
        <f t="shared" si="36"/>
        <v>1660844.9702075629</v>
      </c>
      <c r="W48" s="137">
        <f t="shared" si="36"/>
        <v>2327498.6223452496</v>
      </c>
      <c r="X48" s="137">
        <f t="shared" si="36"/>
        <v>3001191.7876511249</v>
      </c>
      <c r="Y48" s="137">
        <f t="shared" si="36"/>
        <v>3815381.1415951299</v>
      </c>
      <c r="Z48" s="137">
        <f t="shared" si="36"/>
        <v>4798894.9449385293</v>
      </c>
    </row>
    <row r="49" spans="2:26" s="254" customFormat="1" ht="14.25">
      <c r="B49" s="254" t="s">
        <v>37</v>
      </c>
      <c r="E49" s="256">
        <f t="shared" ref="E49:P49" si="37">IFERROR(E48/E$30,"")</f>
        <v>-7.1998921929745752</v>
      </c>
      <c r="F49" s="256">
        <f t="shared" si="37"/>
        <v>-6.686280736775247</v>
      </c>
      <c r="G49" s="258">
        <f t="shared" si="37"/>
        <v>-4.9636895502983309</v>
      </c>
      <c r="H49" s="256">
        <f t="shared" si="37"/>
        <v>-3.8090124614027339</v>
      </c>
      <c r="I49" s="256">
        <f t="shared" si="37"/>
        <v>-2.8756961750436751</v>
      </c>
      <c r="J49" s="256">
        <f t="shared" si="37"/>
        <v>-2.2590037316168736</v>
      </c>
      <c r="K49" s="256">
        <f t="shared" si="37"/>
        <v>-1.7726691550890552</v>
      </c>
      <c r="L49" s="256">
        <f t="shared" si="37"/>
        <v>-1.2678367818856116</v>
      </c>
      <c r="M49" s="256">
        <f t="shared" si="37"/>
        <v>-0.92358410935201196</v>
      </c>
      <c r="N49" s="256">
        <f t="shared" si="37"/>
        <v>-0.60607741438393092</v>
      </c>
      <c r="O49" s="256">
        <f t="shared" si="37"/>
        <v>-0.34284672052579035</v>
      </c>
      <c r="P49" s="256">
        <f t="shared" si="37"/>
        <v>-0.17844224710651704</v>
      </c>
      <c r="Q49" s="256">
        <f t="shared" ref="Q49:Z49" si="38">IFERROR(Q48/Q$30,"")</f>
        <v>-4.420418228204645E-2</v>
      </c>
      <c r="R49" s="256">
        <f t="shared" si="38"/>
        <v>6.4966821096636651E-2</v>
      </c>
      <c r="S49" s="256">
        <f t="shared" si="38"/>
        <v>0.1416485912870733</v>
      </c>
      <c r="T49" s="256">
        <f t="shared" si="38"/>
        <v>0.20564890959980411</v>
      </c>
      <c r="U49" s="256">
        <f t="shared" si="38"/>
        <v>0.2589390332641886</v>
      </c>
      <c r="V49" s="256">
        <f t="shared" si="38"/>
        <v>0.3032187241560349</v>
      </c>
      <c r="W49" s="256">
        <f t="shared" si="38"/>
        <v>0.33994318574081289</v>
      </c>
      <c r="X49" s="256">
        <f t="shared" si="38"/>
        <v>0.36528295782092773</v>
      </c>
      <c r="Y49" s="256">
        <f t="shared" si="38"/>
        <v>0.38698340726691438</v>
      </c>
      <c r="Z49" s="256">
        <f t="shared" si="38"/>
        <v>0.40561537803356312</v>
      </c>
    </row>
    <row r="50" spans="2:26" ht="3.75" customHeight="1">
      <c r="B50" s="132"/>
      <c r="E50" s="134"/>
      <c r="F50" s="134"/>
      <c r="G50" s="142"/>
      <c r="H50" s="134"/>
      <c r="I50" s="134"/>
      <c r="J50" s="134"/>
      <c r="K50" s="134"/>
      <c r="L50" s="134"/>
      <c r="O50" s="139"/>
      <c r="P50" s="139"/>
      <c r="Q50" s="139"/>
      <c r="R50" s="139"/>
      <c r="S50" s="139"/>
      <c r="T50" s="139"/>
      <c r="U50" s="139"/>
      <c r="V50" s="139"/>
      <c r="W50" s="139"/>
      <c r="X50" s="139"/>
      <c r="Y50" s="139"/>
      <c r="Z50" s="139"/>
    </row>
    <row r="51" spans="2:26" ht="13.5" customHeight="1">
      <c r="B51" s="253" t="s">
        <v>384</v>
      </c>
      <c r="E51" s="130">
        <f>+_xlfn.XLOOKUP($B51,Inputs!$B:$B,Inputs!O:O)</f>
        <v>5604</v>
      </c>
      <c r="F51" s="130">
        <f>+_xlfn.XLOOKUP($B51,Inputs!$B:$B,Inputs!P:P)</f>
        <v>10375</v>
      </c>
      <c r="G51" s="246">
        <f>+_xlfn.XLOOKUP($B51,Inputs!$B:$B,Inputs!Q:Q)</f>
        <v>18654</v>
      </c>
      <c r="H51" s="154">
        <f>+IFERROR(H54+H57,"")</f>
        <v>21834.814286504286</v>
      </c>
      <c r="I51" s="154">
        <f t="shared" ref="I51:P51" si="39">+IFERROR(I54+I57,"")</f>
        <v>31475.283223524959</v>
      </c>
      <c r="J51" s="154">
        <f t="shared" si="39"/>
        <v>47744.802863469769</v>
      </c>
      <c r="K51" s="154">
        <f t="shared" si="39"/>
        <v>66750.502557405765</v>
      </c>
      <c r="L51" s="154">
        <f t="shared" si="39"/>
        <v>94779.189456924985</v>
      </c>
      <c r="M51" s="154">
        <f t="shared" si="39"/>
        <v>128858.63570417673</v>
      </c>
      <c r="N51" s="154">
        <f t="shared" si="39"/>
        <v>172020.46985853932</v>
      </c>
      <c r="O51" s="154">
        <f t="shared" si="39"/>
        <v>223000.07946129324</v>
      </c>
      <c r="P51" s="154">
        <f t="shared" si="39"/>
        <v>289069.15763685445</v>
      </c>
      <c r="Q51" s="154">
        <f t="shared" ref="Q51:Z51" si="40">+IFERROR(Q54+Q57,"")</f>
        <v>360460.5360560948</v>
      </c>
      <c r="R51" s="154">
        <f t="shared" si="40"/>
        <v>450444.74257988989</v>
      </c>
      <c r="S51" s="154">
        <f t="shared" si="40"/>
        <v>528175.42343436345</v>
      </c>
      <c r="T51" s="154">
        <f t="shared" si="40"/>
        <v>623016.87240338686</v>
      </c>
      <c r="U51" s="154">
        <f t="shared" si="40"/>
        <v>711497.90067306883</v>
      </c>
      <c r="V51" s="154">
        <f t="shared" si="40"/>
        <v>820258.53128121444</v>
      </c>
      <c r="W51" s="154">
        <f t="shared" si="40"/>
        <v>954780.63801130687</v>
      </c>
      <c r="X51" s="154">
        <f t="shared" si="40"/>
        <v>1121731.9242011947</v>
      </c>
      <c r="Y51" s="154">
        <f t="shared" si="40"/>
        <v>1321016.1318070411</v>
      </c>
      <c r="Z51" s="154">
        <f t="shared" si="40"/>
        <v>1559352.9400793139</v>
      </c>
    </row>
    <row r="52" spans="2:26" ht="13.5" customHeight="1">
      <c r="B52" s="261" t="s">
        <v>385</v>
      </c>
      <c r="E52" s="270">
        <f>IFERROR(E51/AVERAGE(Inputs!O39+Inputs!O42+Inputs!O44,Inputs!N39+Inputs!N42+Inputs!N44),"")</f>
        <v>0.20984441407200763</v>
      </c>
      <c r="F52" s="270">
        <f>IFERROR(F51/AVERAGE(Inputs!P39+Inputs!P42+Inputs!P44,Inputs!O39+Inputs!O42+Inputs!O44),"")</f>
        <v>0.28277845160059417</v>
      </c>
      <c r="G52" s="258">
        <f>IFERROR(G51/AVERAGE(Inputs!Q39+Inputs!Q42+Inputs!Q44,Inputs!P39+Inputs!P42+Inputs!P44),"")</f>
        <v>0.3244032868136168</v>
      </c>
      <c r="H52" s="134">
        <f>IFERROR(H51/(G100+G106),"")</f>
        <v>0.23811138807529211</v>
      </c>
      <c r="I52" s="134">
        <f t="shared" ref="I52:P52" si="41">IFERROR(I51/(H100+H106),"")</f>
        <v>0.20180188361344681</v>
      </c>
      <c r="J52" s="134">
        <f t="shared" si="41"/>
        <v>0.20156040081593513</v>
      </c>
      <c r="K52" s="134">
        <f t="shared" si="41"/>
        <v>0.19860989164062506</v>
      </c>
      <c r="L52" s="134">
        <f t="shared" si="41"/>
        <v>0.20046044298580365</v>
      </c>
      <c r="M52" s="134">
        <f t="shared" si="41"/>
        <v>0.20320727044238035</v>
      </c>
      <c r="N52" s="134">
        <f t="shared" si="41"/>
        <v>0.20635992461569663</v>
      </c>
      <c r="O52" s="134">
        <f t="shared" si="41"/>
        <v>0.2133869841594164</v>
      </c>
      <c r="P52" s="134">
        <f t="shared" si="41"/>
        <v>0.22011880943950662</v>
      </c>
      <c r="Q52" s="134">
        <f t="shared" ref="Q52:Z52" si="42">IFERROR(Q51/(P100+P106),"")</f>
        <v>0.23120754895109016</v>
      </c>
      <c r="R52" s="134">
        <f t="shared" si="42"/>
        <v>0.24279930435312241</v>
      </c>
      <c r="S52" s="134">
        <f t="shared" si="42"/>
        <v>0.26485956441900932</v>
      </c>
      <c r="T52" s="134">
        <f t="shared" si="42"/>
        <v>0.28738447287872582</v>
      </c>
      <c r="U52" s="134">
        <f t="shared" si="42"/>
        <v>0.3217141254351244</v>
      </c>
      <c r="V52" s="134">
        <f t="shared" si="42"/>
        <v>0.35698755526325221</v>
      </c>
      <c r="W52" s="134">
        <f t="shared" si="42"/>
        <v>0.39154638479742371</v>
      </c>
      <c r="X52" s="134">
        <f t="shared" si="42"/>
        <v>0.42348578573490575</v>
      </c>
      <c r="Y52" s="134">
        <f t="shared" si="42"/>
        <v>0.45628959697194971</v>
      </c>
      <c r="Z52" s="134">
        <f t="shared" si="42"/>
        <v>0.48945646732498843</v>
      </c>
    </row>
    <row r="53" spans="2:26" ht="5.25" customHeight="1">
      <c r="B53" s="132"/>
      <c r="E53" s="134"/>
      <c r="F53" s="134"/>
      <c r="G53" s="142"/>
      <c r="H53" s="134"/>
      <c r="I53" s="134"/>
      <c r="J53" s="134"/>
      <c r="K53" s="134"/>
      <c r="L53" s="134"/>
      <c r="O53" s="139"/>
      <c r="P53" s="139"/>
      <c r="Q53" s="139"/>
      <c r="R53" s="139"/>
      <c r="S53" s="139"/>
      <c r="T53" s="139"/>
      <c r="U53" s="139"/>
      <c r="V53" s="139"/>
      <c r="W53" s="139"/>
      <c r="X53" s="139"/>
      <c r="Y53" s="139"/>
      <c r="Z53" s="139"/>
    </row>
    <row r="54" spans="2:26" s="132" customFormat="1">
      <c r="B54" s="847" t="s">
        <v>386</v>
      </c>
      <c r="E54" s="272">
        <f>+_xlfn.XLOOKUP($B54,Inputs!$B:$B,Inputs!O:O)</f>
        <v>4000</v>
      </c>
      <c r="F54" s="272">
        <f>+_xlfn.XLOOKUP($B54,Inputs!$B:$B,Inputs!P:P)</f>
        <v>7200</v>
      </c>
      <c r="G54" s="273">
        <f>+_xlfn.XLOOKUP($B54,Inputs!$B:$B,Inputs!Q:Q)</f>
        <v>13000</v>
      </c>
      <c r="H54" s="274">
        <f>IFERROR(H55*(G101+G102),"")</f>
        <v>13670.814286504286</v>
      </c>
      <c r="I54" s="274">
        <f t="shared" ref="I54:P54" si="43">IFERROR(I55*(H101+H102),"")</f>
        <v>20004.979521342968</v>
      </c>
      <c r="J54" s="274">
        <f t="shared" si="43"/>
        <v>29337.136624576007</v>
      </c>
      <c r="K54" s="274">
        <f t="shared" si="43"/>
        <v>40330.692994165489</v>
      </c>
      <c r="L54" s="274">
        <f t="shared" si="43"/>
        <v>58884.111679668771</v>
      </c>
      <c r="M54" s="274">
        <f t="shared" si="43"/>
        <v>82893.424989628984</v>
      </c>
      <c r="N54" s="274">
        <f t="shared" si="43"/>
        <v>115914.5276021881</v>
      </c>
      <c r="O54" s="274">
        <f t="shared" si="43"/>
        <v>157348.86800411096</v>
      </c>
      <c r="P54" s="274">
        <f t="shared" si="43"/>
        <v>214748.58812032861</v>
      </c>
      <c r="Q54" s="274">
        <f t="shared" ref="Q54:Z54" si="44">IFERROR(Q55*(P101+P102),"")</f>
        <v>278585.74956897792</v>
      </c>
      <c r="R54" s="274">
        <f t="shared" si="44"/>
        <v>362011.07954746956</v>
      </c>
      <c r="S54" s="274">
        <f t="shared" si="44"/>
        <v>434077.54883830814</v>
      </c>
      <c r="T54" s="274">
        <f t="shared" si="44"/>
        <v>524196.37137917872</v>
      </c>
      <c r="U54" s="274">
        <f t="shared" si="44"/>
        <v>608794.38246436254</v>
      </c>
      <c r="V54" s="274">
        <f t="shared" si="44"/>
        <v>714425.14573794894</v>
      </c>
      <c r="W54" s="274">
        <f t="shared" si="44"/>
        <v>846496.89322304353</v>
      </c>
      <c r="X54" s="274">
        <f t="shared" si="44"/>
        <v>1011614.2941447782</v>
      </c>
      <c r="Y54" s="274">
        <f t="shared" si="44"/>
        <v>1209718.6734667462</v>
      </c>
      <c r="Z54" s="274">
        <f t="shared" si="44"/>
        <v>1447459.946416402</v>
      </c>
    </row>
    <row r="55" spans="2:26" s="254" customFormat="1" ht="14.25">
      <c r="B55" s="271" t="s">
        <v>387</v>
      </c>
      <c r="E55" s="270">
        <f>IFERROR(E54/AVERAGE(Inputs!O40+Inputs!O42,Inputs!N40+Inputs!N42),"")</f>
        <v>0.12583562721195438</v>
      </c>
      <c r="F55" s="270">
        <f>IFERROR(F54/AVERAGE(Inputs!P40+Inputs!P42,Inputs!O40+Inputs!O42),"")</f>
        <v>0.15326486083763505</v>
      </c>
      <c r="G55" s="258">
        <f>IFERROR(G54/AVERAGE(Inputs!Q40+Inputs!Q42,Inputs!P40+Inputs!P42),"")</f>
        <v>0.17738964317391007</v>
      </c>
      <c r="H55" s="276">
        <f>IFERROR(AVERAGE(E55:G55),"")</f>
        <v>0.15216337707449981</v>
      </c>
      <c r="I55" s="276">
        <f t="shared" ref="I55:P55" si="45">IFERROR(AVERAGE(F55:H55),"")</f>
        <v>0.16093929369534832</v>
      </c>
      <c r="J55" s="276">
        <f t="shared" si="45"/>
        <v>0.16349743798125274</v>
      </c>
      <c r="K55" s="276">
        <f t="shared" si="45"/>
        <v>0.15886670291703361</v>
      </c>
      <c r="L55" s="276">
        <f t="shared" si="45"/>
        <v>0.16110114486454488</v>
      </c>
      <c r="M55" s="276">
        <f t="shared" si="45"/>
        <v>0.16115509525427707</v>
      </c>
      <c r="N55" s="276">
        <f t="shared" si="45"/>
        <v>0.16037431434528518</v>
      </c>
      <c r="O55" s="276">
        <f t="shared" si="45"/>
        <v>0.16087685148803568</v>
      </c>
      <c r="P55" s="276">
        <f t="shared" si="45"/>
        <v>0.16080208702919929</v>
      </c>
      <c r="Q55" s="276">
        <f t="shared" ref="Q55:Z55" si="46">IFERROR(AVERAGE(N55:P55),"")</f>
        <v>0.16068441762084004</v>
      </c>
      <c r="R55" s="276">
        <f t="shared" si="46"/>
        <v>0.16078778537935834</v>
      </c>
      <c r="S55" s="276">
        <f t="shared" si="46"/>
        <v>0.1607580966764659</v>
      </c>
      <c r="T55" s="276">
        <f t="shared" si="46"/>
        <v>0.16074343322555476</v>
      </c>
      <c r="U55" s="276">
        <f t="shared" si="46"/>
        <v>0.16076310509379299</v>
      </c>
      <c r="V55" s="276">
        <f t="shared" si="46"/>
        <v>0.16075487833193788</v>
      </c>
      <c r="W55" s="276">
        <f t="shared" si="46"/>
        <v>0.16075380555042854</v>
      </c>
      <c r="X55" s="276">
        <f t="shared" si="46"/>
        <v>0.16075726299205315</v>
      </c>
      <c r="Y55" s="276">
        <f t="shared" si="46"/>
        <v>0.16075531562480652</v>
      </c>
      <c r="Z55" s="276">
        <f t="shared" si="46"/>
        <v>0.16075546138909605</v>
      </c>
    </row>
    <row r="56" spans="2:26" ht="3.75" customHeight="1">
      <c r="B56" s="132"/>
      <c r="E56" s="134"/>
      <c r="F56" s="134"/>
      <c r="G56" s="142"/>
      <c r="H56" s="140"/>
      <c r="I56" s="140"/>
      <c r="J56" s="140"/>
      <c r="K56" s="140"/>
      <c r="L56" s="140"/>
      <c r="M56" s="140"/>
      <c r="N56" s="140"/>
      <c r="O56" s="140"/>
      <c r="P56" s="140"/>
      <c r="Q56" s="140"/>
      <c r="R56" s="140"/>
      <c r="S56" s="140"/>
      <c r="T56" s="140"/>
      <c r="U56" s="140"/>
      <c r="V56" s="140"/>
      <c r="W56" s="140"/>
      <c r="X56" s="140"/>
      <c r="Y56" s="140"/>
      <c r="Z56" s="140"/>
    </row>
    <row r="57" spans="2:26" s="132" customFormat="1">
      <c r="B57" s="847" t="s">
        <v>388</v>
      </c>
      <c r="E57" s="272">
        <f>+_xlfn.XLOOKUP($B57,Inputs!$B:$B,Inputs!O:O)</f>
        <v>0</v>
      </c>
      <c r="F57" s="272">
        <f>+_xlfn.XLOOKUP($B57,Inputs!$B:$B,Inputs!P:P)</f>
        <v>0</v>
      </c>
      <c r="G57" s="273">
        <f>+_xlfn.XLOOKUP($B57,Inputs!$B:$B,Inputs!Q:Q)</f>
        <v>0</v>
      </c>
      <c r="H57" s="154">
        <v>8164</v>
      </c>
      <c r="I57" s="154">
        <f t="shared" ref="I57:Z57" si="47">+I58*H106</f>
        <v>11470.303702181993</v>
      </c>
      <c r="J57" s="154">
        <f t="shared" si="47"/>
        <v>18407.666238893762</v>
      </c>
      <c r="K57" s="154">
        <f t="shared" si="47"/>
        <v>26419.809563240273</v>
      </c>
      <c r="L57" s="154">
        <f t="shared" si="47"/>
        <v>35895.077777256214</v>
      </c>
      <c r="M57" s="154">
        <f t="shared" si="47"/>
        <v>45965.210714547749</v>
      </c>
      <c r="N57" s="154">
        <f t="shared" si="47"/>
        <v>56105.942256351227</v>
      </c>
      <c r="O57" s="154">
        <f t="shared" si="47"/>
        <v>65651.211457182289</v>
      </c>
      <c r="P57" s="154">
        <f t="shared" si="47"/>
        <v>74320.569516525808</v>
      </c>
      <c r="Q57" s="154">
        <f t="shared" si="47"/>
        <v>81874.786487116886</v>
      </c>
      <c r="R57" s="154">
        <f t="shared" si="47"/>
        <v>88433.663032420314</v>
      </c>
      <c r="S57" s="154">
        <f t="shared" si="47"/>
        <v>94097.874596055321</v>
      </c>
      <c r="T57" s="154">
        <f t="shared" si="47"/>
        <v>98820.501024208119</v>
      </c>
      <c r="U57" s="154">
        <f t="shared" si="47"/>
        <v>102703.51820870623</v>
      </c>
      <c r="V57" s="154">
        <f t="shared" si="47"/>
        <v>105833.38554326545</v>
      </c>
      <c r="W57" s="154">
        <f t="shared" si="47"/>
        <v>108283.74478826339</v>
      </c>
      <c r="X57" s="154">
        <f t="shared" si="47"/>
        <v>110117.63005641651</v>
      </c>
      <c r="Y57" s="154">
        <f t="shared" si="47"/>
        <v>111297.4583402948</v>
      </c>
      <c r="Z57" s="154">
        <f t="shared" si="47"/>
        <v>111892.99366291201</v>
      </c>
    </row>
    <row r="58" spans="2:26" s="254" customFormat="1" ht="14.25">
      <c r="B58" s="271" t="s">
        <v>389</v>
      </c>
      <c r="E58" s="256">
        <f>IFERROR(E57/AVERAGE(Inputs!N45:O45),"")</f>
        <v>0</v>
      </c>
      <c r="F58" s="256">
        <f>IFERROR(F57/AVERAGE(Inputs!O45:P45),"")</f>
        <v>0</v>
      </c>
      <c r="G58" s="258">
        <f>IFERROR(G57/AVERAGE(Inputs!P45:Q45),"")</f>
        <v>0</v>
      </c>
      <c r="H58" s="276">
        <f>+H57/AVERAGE(G106:H106)</f>
        <v>0.15941946538580742</v>
      </c>
      <c r="I58" s="276">
        <f t="shared" ref="I58:Y58" si="48">+H58-($H$58-$Z$58)/($Z$28-$H$28)</f>
        <v>0.15722949508659589</v>
      </c>
      <c r="J58" s="276">
        <f t="shared" si="48"/>
        <v>0.15503952478738436</v>
      </c>
      <c r="K58" s="276">
        <f t="shared" si="48"/>
        <v>0.15284955448817283</v>
      </c>
      <c r="L58" s="276">
        <f t="shared" si="48"/>
        <v>0.1506595841889613</v>
      </c>
      <c r="M58" s="276">
        <f t="shared" si="48"/>
        <v>0.14846961388974977</v>
      </c>
      <c r="N58" s="276">
        <f t="shared" si="48"/>
        <v>0.14627964359053824</v>
      </c>
      <c r="O58" s="276">
        <f t="shared" si="48"/>
        <v>0.14408967329132671</v>
      </c>
      <c r="P58" s="276">
        <f t="shared" si="48"/>
        <v>0.14189970299211518</v>
      </c>
      <c r="Q58" s="276">
        <f t="shared" si="48"/>
        <v>0.13970973269290365</v>
      </c>
      <c r="R58" s="276">
        <f t="shared" si="48"/>
        <v>0.13751976239369212</v>
      </c>
      <c r="S58" s="276">
        <f t="shared" si="48"/>
        <v>0.13532979209448059</v>
      </c>
      <c r="T58" s="276">
        <f t="shared" si="48"/>
        <v>0.13313982179526906</v>
      </c>
      <c r="U58" s="276">
        <f t="shared" si="48"/>
        <v>0.13094985149605753</v>
      </c>
      <c r="V58" s="276">
        <f t="shared" si="48"/>
        <v>0.128759881196846</v>
      </c>
      <c r="W58" s="276">
        <f t="shared" si="48"/>
        <v>0.12656991089763447</v>
      </c>
      <c r="X58" s="276">
        <f t="shared" si="48"/>
        <v>0.12437994059842294</v>
      </c>
      <c r="Y58" s="276">
        <f t="shared" si="48"/>
        <v>0.12218997029921141</v>
      </c>
      <c r="Z58" s="276">
        <v>0.12</v>
      </c>
    </row>
    <row r="59" spans="2:26" ht="3.95" customHeight="1">
      <c r="G59" s="138"/>
    </row>
    <row r="60" spans="2:26">
      <c r="B60" s="105" t="s">
        <v>260</v>
      </c>
      <c r="E60" s="130">
        <f>+_xlfn.XLOOKUP($B60,Inputs!$B:$B,Inputs!O:O)</f>
        <v>-85746</v>
      </c>
      <c r="F60" s="130">
        <f>+_xlfn.XLOOKUP($B60,Inputs!$B:$B,Inputs!P:P)</f>
        <v>-157754</v>
      </c>
      <c r="G60" s="246">
        <f>+_xlfn.XLOOKUP($B60,Inputs!$B:$B,Inputs!Q:Q)</f>
        <v>-232455</v>
      </c>
      <c r="H60" s="141">
        <f>+IFERROR(H48-H51,"")</f>
        <v>-284339.76428650424</v>
      </c>
      <c r="I60" s="141">
        <f>+IFERROR(I48-I51,"")</f>
        <v>-348569.32827352494</v>
      </c>
      <c r="J60" s="141">
        <f t="shared" ref="J60:P60" si="49">+IFERROR(J48-J51,"")</f>
        <v>-421384.74295409478</v>
      </c>
      <c r="K60" s="141">
        <f t="shared" si="49"/>
        <v>-506550.57081619487</v>
      </c>
      <c r="L60" s="141">
        <f t="shared" si="49"/>
        <v>-566605.5606781384</v>
      </c>
      <c r="M60" s="141">
        <f t="shared" si="49"/>
        <v>-610056.12349045067</v>
      </c>
      <c r="N60" s="141">
        <f t="shared" si="49"/>
        <v>-614102.6762904271</v>
      </c>
      <c r="O60" s="141">
        <f t="shared" si="49"/>
        <v>-573108.83374454034</v>
      </c>
      <c r="P60" s="141">
        <f t="shared" si="49"/>
        <v>-525957.67322540132</v>
      </c>
      <c r="Q60" s="141">
        <f t="shared" ref="Q60:Z60" si="50">+IFERROR(Q48-Q51,"")</f>
        <v>-436747.97516547493</v>
      </c>
      <c r="R60" s="141">
        <f t="shared" si="50"/>
        <v>-304689.34572644805</v>
      </c>
      <c r="S60" s="141">
        <f t="shared" si="50"/>
        <v>-130933.29490871512</v>
      </c>
      <c r="T60" s="141">
        <f t="shared" si="50"/>
        <v>97890.496283766348</v>
      </c>
      <c r="U60" s="141">
        <f t="shared" si="50"/>
        <v>423148.62799164746</v>
      </c>
      <c r="V60" s="141">
        <f t="shared" si="50"/>
        <v>840586.43892634846</v>
      </c>
      <c r="W60" s="141">
        <f t="shared" si="50"/>
        <v>1372717.9843339426</v>
      </c>
      <c r="X60" s="141">
        <f t="shared" si="50"/>
        <v>1879459.8634499302</v>
      </c>
      <c r="Y60" s="141">
        <f t="shared" si="50"/>
        <v>2494365.0097880885</v>
      </c>
      <c r="Z60" s="141">
        <f t="shared" si="50"/>
        <v>3239542.0048592156</v>
      </c>
    </row>
    <row r="61" spans="2:26" s="262" customFormat="1" ht="14.25">
      <c r="B61" s="254" t="s">
        <v>217</v>
      </c>
      <c r="E61" s="256">
        <f>IFERROR(E60/E$30,"")</f>
        <v>-7.7033510017069444</v>
      </c>
      <c r="F61" s="256">
        <f>IFERROR(F60/F$30,"")</f>
        <v>-7.1569730514472374</v>
      </c>
      <c r="G61" s="258">
        <f>IFERROR(G60/G$30,"")</f>
        <v>-5.3967682771109509</v>
      </c>
      <c r="H61" s="256">
        <f t="shared" ref="H61:Z61" si="51">IFERROR(H60/H30,"")</f>
        <v>-4.1258410762906035</v>
      </c>
      <c r="I61" s="256">
        <f t="shared" si="51"/>
        <v>-3.1611425685892711</v>
      </c>
      <c r="J61" s="256">
        <f t="shared" si="51"/>
        <v>-2.5476658264874867</v>
      </c>
      <c r="K61" s="256">
        <f t="shared" si="51"/>
        <v>-2.0417154002128286</v>
      </c>
      <c r="L61" s="256">
        <f t="shared" si="51"/>
        <v>-1.52251636293526</v>
      </c>
      <c r="M61" s="256">
        <f t="shared" si="51"/>
        <v>-1.1709083188707803</v>
      </c>
      <c r="N61" s="256">
        <f t="shared" si="51"/>
        <v>-0.84191075052847353</v>
      </c>
      <c r="O61" s="256">
        <f t="shared" si="51"/>
        <v>-0.56122128267238858</v>
      </c>
      <c r="P61" s="256">
        <f t="shared" si="51"/>
        <v>-0.39619087848171491</v>
      </c>
      <c r="Q61" s="256">
        <f t="shared" si="51"/>
        <v>-0.25307032626758486</v>
      </c>
      <c r="R61" s="256">
        <f t="shared" si="51"/>
        <v>-0.13580765200595038</v>
      </c>
      <c r="S61" s="256">
        <f t="shared" si="51"/>
        <v>-4.6688192023412109E-2</v>
      </c>
      <c r="T61" s="256">
        <f t="shared" si="51"/>
        <v>2.7924633171111834E-2</v>
      </c>
      <c r="U61" s="256">
        <f t="shared" si="51"/>
        <v>9.6567251466559936E-2</v>
      </c>
      <c r="V61" s="256">
        <f t="shared" si="51"/>
        <v>0.1534649844664662</v>
      </c>
      <c r="W61" s="256">
        <f t="shared" si="51"/>
        <v>0.20049254604841943</v>
      </c>
      <c r="X61" s="256">
        <f t="shared" si="51"/>
        <v>0.22875401060724015</v>
      </c>
      <c r="Y61" s="256">
        <f t="shared" si="51"/>
        <v>0.25299644639214275</v>
      </c>
      <c r="Z61" s="256">
        <f t="shared" si="51"/>
        <v>0.27381471568626081</v>
      </c>
    </row>
    <row r="62" spans="2:26" customFormat="1" ht="3.75" hidden="1" customHeight="1">
      <c r="B62" s="105"/>
      <c r="E62" s="256"/>
      <c r="F62" s="256"/>
      <c r="G62" s="259"/>
      <c r="H62" s="89"/>
      <c r="I62" s="89"/>
      <c r="J62" s="89"/>
      <c r="K62" s="89"/>
      <c r="L62" s="89"/>
      <c r="M62" s="89"/>
      <c r="N62" s="89"/>
      <c r="O62" s="89"/>
      <c r="P62" s="89"/>
      <c r="Q62" s="89"/>
      <c r="R62" s="89"/>
      <c r="S62" s="89"/>
      <c r="T62" s="89"/>
      <c r="U62" s="89"/>
      <c r="V62" s="89"/>
      <c r="W62" s="89"/>
      <c r="X62" s="89"/>
      <c r="Y62" s="89"/>
      <c r="Z62" s="89"/>
    </row>
    <row r="63" spans="2:26" customFormat="1" ht="13.5" hidden="1" customHeight="1">
      <c r="B63" s="253" t="s">
        <v>261</v>
      </c>
      <c r="E63" s="130">
        <f>+_xlfn.XLOOKUP($B63,Inputs!$B:$B,Inputs!O:O)</f>
        <v>-7093</v>
      </c>
      <c r="F63" s="130">
        <f>+_xlfn.XLOOKUP($B63,Inputs!$B:$B,Inputs!P:P)</f>
        <v>-19322</v>
      </c>
      <c r="G63" s="246">
        <f>+_xlfn.XLOOKUP($B63,Inputs!$B:$B,Inputs!Q:Q)</f>
        <v>-18249</v>
      </c>
      <c r="H63" s="141">
        <f>-H66-H69</f>
        <v>0</v>
      </c>
      <c r="I63" s="141">
        <f t="shared" ref="I63:P63" si="52">-I66-I69</f>
        <v>0</v>
      </c>
      <c r="J63" s="141">
        <f t="shared" si="52"/>
        <v>0</v>
      </c>
      <c r="K63" s="141">
        <f t="shared" si="52"/>
        <v>0</v>
      </c>
      <c r="L63" s="141">
        <f t="shared" si="52"/>
        <v>0</v>
      </c>
      <c r="M63" s="141">
        <f t="shared" si="52"/>
        <v>0</v>
      </c>
      <c r="N63" s="141">
        <f t="shared" si="52"/>
        <v>0</v>
      </c>
      <c r="O63" s="141">
        <f t="shared" si="52"/>
        <v>0</v>
      </c>
      <c r="P63" s="141">
        <f t="shared" si="52"/>
        <v>0</v>
      </c>
      <c r="Q63" s="141">
        <f t="shared" ref="Q63:Z63" si="53">-Q66-Q69</f>
        <v>0</v>
      </c>
      <c r="R63" s="141">
        <f t="shared" si="53"/>
        <v>0</v>
      </c>
      <c r="S63" s="141">
        <f t="shared" si="53"/>
        <v>0</v>
      </c>
      <c r="T63" s="141">
        <f t="shared" si="53"/>
        <v>0</v>
      </c>
      <c r="U63" s="141">
        <f t="shared" si="53"/>
        <v>0</v>
      </c>
      <c r="V63" s="141">
        <f t="shared" si="53"/>
        <v>0</v>
      </c>
      <c r="W63" s="141">
        <f t="shared" si="53"/>
        <v>0</v>
      </c>
      <c r="X63" s="141">
        <f t="shared" si="53"/>
        <v>0</v>
      </c>
      <c r="Y63" s="141">
        <f t="shared" si="53"/>
        <v>0</v>
      </c>
      <c r="Z63" s="141">
        <f t="shared" si="53"/>
        <v>0</v>
      </c>
    </row>
    <row r="64" spans="2:26" customFormat="1" ht="13.5" hidden="1" customHeight="1">
      <c r="B64" s="271" t="s">
        <v>390</v>
      </c>
      <c r="E64" s="270">
        <f>IFERROR(E63/AVERAGE(Inputs!N115:O115),"")</f>
        <v>1.630567215782916E-2</v>
      </c>
      <c r="F64" s="270">
        <f>IFERROR(F63/AVERAGE(Inputs!O115:P115),"")</f>
        <v>5.527812863422512E-2</v>
      </c>
      <c r="G64" s="258">
        <f>IFERROR(G63/AVERAGE(Inputs!P115:Q115),"")</f>
        <v>5.4482758620689659E-2</v>
      </c>
      <c r="H64" s="270">
        <f>IFERROR(H63/AVERAGE(G117+G119,H117+H119),"")</f>
        <v>0</v>
      </c>
      <c r="I64" s="270">
        <f t="shared" ref="I64:P64" si="54">IFERROR(I63/AVERAGE(H117+H119,I117+I119),"")</f>
        <v>0</v>
      </c>
      <c r="J64" s="270">
        <f t="shared" si="54"/>
        <v>0</v>
      </c>
      <c r="K64" s="270">
        <f t="shared" si="54"/>
        <v>0</v>
      </c>
      <c r="L64" s="270">
        <f t="shared" si="54"/>
        <v>0</v>
      </c>
      <c r="M64" s="270">
        <f t="shared" si="54"/>
        <v>0</v>
      </c>
      <c r="N64" s="270">
        <f t="shared" si="54"/>
        <v>0</v>
      </c>
      <c r="O64" s="270">
        <f t="shared" si="54"/>
        <v>0</v>
      </c>
      <c r="P64" s="270">
        <f t="shared" si="54"/>
        <v>0</v>
      </c>
      <c r="Q64" s="270">
        <f t="shared" ref="Q64:Z64" si="55">IFERROR(Q63/AVERAGE(P117+P119,Q117+Q119),"")</f>
        <v>0</v>
      </c>
      <c r="R64" s="270">
        <f t="shared" si="55"/>
        <v>0</v>
      </c>
      <c r="S64" s="270">
        <f t="shared" si="55"/>
        <v>0</v>
      </c>
      <c r="T64" s="270">
        <f t="shared" si="55"/>
        <v>0</v>
      </c>
      <c r="U64" s="270">
        <f t="shared" si="55"/>
        <v>0</v>
      </c>
      <c r="V64" s="270">
        <f t="shared" si="55"/>
        <v>0</v>
      </c>
      <c r="W64" s="270">
        <f t="shared" si="55"/>
        <v>0</v>
      </c>
      <c r="X64" s="270">
        <f t="shared" si="55"/>
        <v>0</v>
      </c>
      <c r="Y64" s="270">
        <f t="shared" si="55"/>
        <v>0</v>
      </c>
      <c r="Z64" s="270">
        <f t="shared" si="55"/>
        <v>0</v>
      </c>
    </row>
    <row r="65" spans="2:26" customFormat="1" ht="3.75" hidden="1" customHeight="1">
      <c r="B65" s="105"/>
      <c r="E65" s="256"/>
      <c r="F65" s="256"/>
      <c r="G65" s="258"/>
      <c r="H65" s="89"/>
      <c r="I65" s="89"/>
      <c r="J65" s="89"/>
      <c r="K65" s="89"/>
      <c r="L65" s="89"/>
      <c r="M65" s="89"/>
      <c r="N65" s="89"/>
      <c r="O65" s="89"/>
      <c r="P65" s="89"/>
      <c r="Q65" s="89"/>
      <c r="R65" s="89"/>
      <c r="S65" s="89"/>
      <c r="T65" s="89"/>
      <c r="U65" s="89"/>
      <c r="V65" s="89"/>
      <c r="W65" s="89"/>
      <c r="X65" s="89"/>
      <c r="Y65" s="89"/>
      <c r="Z65" s="89"/>
    </row>
    <row r="66" spans="2:26" customFormat="1" hidden="1">
      <c r="B66" s="770" t="s">
        <v>391</v>
      </c>
      <c r="E66" s="130">
        <f>+_xlfn.XLOOKUP($B66,Inputs!$B:$B,Inputs!O:O)</f>
        <v>0</v>
      </c>
      <c r="F66" s="130">
        <f>+_xlfn.XLOOKUP($B66,Inputs!$B:$B,Inputs!P:P)</f>
        <v>0</v>
      </c>
      <c r="G66" s="246">
        <f>+_xlfn.XLOOKUP($B66,Inputs!$B:$B,Inputs!Q:Q)</f>
        <v>0</v>
      </c>
      <c r="H66" s="141">
        <v>0</v>
      </c>
      <c r="I66" s="141">
        <v>0</v>
      </c>
      <c r="J66" s="141">
        <v>0</v>
      </c>
      <c r="K66" s="141">
        <v>0</v>
      </c>
      <c r="L66" s="141">
        <v>0</v>
      </c>
      <c r="M66" s="141">
        <v>0</v>
      </c>
      <c r="N66" s="141">
        <v>0</v>
      </c>
      <c r="O66" s="141">
        <v>0</v>
      </c>
      <c r="P66" s="141">
        <v>0</v>
      </c>
      <c r="Q66" s="141">
        <v>0</v>
      </c>
      <c r="R66" s="141">
        <v>0</v>
      </c>
      <c r="S66" s="141">
        <v>0</v>
      </c>
      <c r="T66" s="141">
        <v>0</v>
      </c>
      <c r="U66" s="141">
        <v>0</v>
      </c>
      <c r="V66" s="141">
        <v>0</v>
      </c>
      <c r="W66" s="141">
        <v>0</v>
      </c>
      <c r="X66" s="141">
        <v>0</v>
      </c>
      <c r="Y66" s="141">
        <v>0</v>
      </c>
      <c r="Z66" s="141">
        <v>0</v>
      </c>
    </row>
    <row r="67" spans="2:26" s="262" customFormat="1" ht="14.25" hidden="1">
      <c r="B67" s="271" t="s">
        <v>392</v>
      </c>
      <c r="E67" s="270">
        <f>+IFERROR(E66/AVERAGE(Inputs!N112:O112),"")</f>
        <v>0</v>
      </c>
      <c r="F67" s="270">
        <f>+IFERROR(F66/AVERAGE(Inputs!O112:P112),"")</f>
        <v>0</v>
      </c>
      <c r="G67" s="258">
        <f>+IFERROR(G66/AVERAGE(Inputs!P112:Q112),"")</f>
        <v>0</v>
      </c>
      <c r="H67" s="278">
        <v>0</v>
      </c>
      <c r="I67" s="278">
        <v>0</v>
      </c>
      <c r="J67" s="278">
        <v>0</v>
      </c>
      <c r="K67" s="278">
        <v>0</v>
      </c>
      <c r="L67" s="278">
        <v>0</v>
      </c>
      <c r="M67" s="278">
        <v>0</v>
      </c>
      <c r="N67" s="278">
        <v>0</v>
      </c>
      <c r="O67" s="278">
        <v>0</v>
      </c>
      <c r="P67" s="278">
        <v>0</v>
      </c>
      <c r="Q67" s="278">
        <v>0</v>
      </c>
      <c r="R67" s="278">
        <v>0</v>
      </c>
      <c r="S67" s="278">
        <v>0</v>
      </c>
      <c r="T67" s="278">
        <v>0</v>
      </c>
      <c r="U67" s="278">
        <v>0</v>
      </c>
      <c r="V67" s="278">
        <v>0</v>
      </c>
      <c r="W67" s="278">
        <v>0</v>
      </c>
      <c r="X67" s="278">
        <v>0</v>
      </c>
      <c r="Y67" s="278">
        <v>0</v>
      </c>
      <c r="Z67" s="278">
        <v>0</v>
      </c>
    </row>
    <row r="68" spans="2:26" customFormat="1" ht="3.75" hidden="1" customHeight="1">
      <c r="B68" s="236"/>
      <c r="E68" s="256"/>
      <c r="F68" s="256"/>
      <c r="G68" s="259"/>
      <c r="H68" s="89"/>
      <c r="I68" s="89"/>
      <c r="J68" s="89"/>
      <c r="K68" s="89"/>
      <c r="L68" s="89"/>
      <c r="M68" s="89"/>
      <c r="N68" s="89"/>
      <c r="O68" s="89"/>
      <c r="P68" s="89"/>
      <c r="Q68" s="89"/>
      <c r="R68" s="89"/>
      <c r="S68" s="89"/>
      <c r="T68" s="89"/>
      <c r="U68" s="89"/>
      <c r="V68" s="89"/>
      <c r="W68" s="89"/>
      <c r="X68" s="89"/>
      <c r="Y68" s="89"/>
      <c r="Z68" s="89"/>
    </row>
    <row r="69" spans="2:26" customFormat="1" hidden="1">
      <c r="B69" s="770" t="s">
        <v>393</v>
      </c>
      <c r="E69" s="130">
        <f>+_xlfn.XLOOKUP($B69,Inputs!$B:$B,Inputs!O:O)</f>
        <v>7093</v>
      </c>
      <c r="F69" s="130">
        <f>+_xlfn.XLOOKUP($B69,Inputs!$B:$B,Inputs!P:P)</f>
        <v>19322</v>
      </c>
      <c r="G69" s="246">
        <f>+_xlfn.XLOOKUP($B69,Inputs!$B:$B,Inputs!Q:Q)</f>
        <v>18249</v>
      </c>
      <c r="H69" s="141"/>
      <c r="I69" s="141"/>
      <c r="J69" s="141"/>
      <c r="K69" s="141"/>
      <c r="L69" s="141"/>
      <c r="M69" s="141"/>
      <c r="N69" s="141"/>
      <c r="O69" s="141"/>
      <c r="P69" s="141"/>
      <c r="Q69" s="141"/>
      <c r="R69" s="141"/>
      <c r="S69" s="141"/>
      <c r="T69" s="141"/>
      <c r="U69" s="141"/>
      <c r="V69" s="141"/>
      <c r="W69" s="141"/>
      <c r="X69" s="141"/>
      <c r="Y69" s="141"/>
      <c r="Z69" s="141"/>
    </row>
    <row r="70" spans="2:26" s="262" customFormat="1" ht="14.25" hidden="1">
      <c r="B70" s="271" t="s">
        <v>394</v>
      </c>
      <c r="E70" s="256">
        <f>IFERROR(E69/+AVERAGE(Inputs!N32:O32),"")</f>
        <v>1.6152300273835345E-2</v>
      </c>
      <c r="F70" s="256">
        <f>IFERROR(F69/+AVERAGE(Inputs!O32:P32),"")</f>
        <v>5.4333429878606038E-2</v>
      </c>
      <c r="G70" s="258">
        <f>IFERROR(G69/+AVERAGE(Inputs!P32:Q32),"")</f>
        <v>5.246000603682463E-2</v>
      </c>
      <c r="H70" s="278"/>
      <c r="I70" s="278"/>
      <c r="J70" s="278"/>
      <c r="K70" s="278"/>
      <c r="L70" s="278"/>
      <c r="M70" s="278"/>
      <c r="N70" s="278"/>
      <c r="O70" s="278"/>
      <c r="P70" s="278"/>
      <c r="Q70" s="278"/>
      <c r="R70" s="278"/>
      <c r="S70" s="278"/>
      <c r="T70" s="278"/>
      <c r="U70" s="278"/>
      <c r="V70" s="278"/>
      <c r="W70" s="278"/>
      <c r="X70" s="278"/>
      <c r="Y70" s="278"/>
      <c r="Z70" s="278"/>
    </row>
    <row r="71" spans="2:26" s="262" customFormat="1" ht="3.75" hidden="1" customHeight="1">
      <c r="B71" s="261"/>
      <c r="E71" s="256"/>
      <c r="F71" s="256"/>
      <c r="G71" s="258"/>
      <c r="H71" s="260"/>
      <c r="I71" s="260"/>
      <c r="J71" s="260"/>
      <c r="K71" s="260"/>
      <c r="L71" s="260"/>
      <c r="M71" s="260"/>
      <c r="N71" s="260"/>
      <c r="O71" s="260"/>
      <c r="P71" s="260"/>
      <c r="Q71" s="260"/>
      <c r="R71" s="260"/>
      <c r="S71" s="260"/>
      <c r="T71" s="260"/>
      <c r="U71" s="260"/>
      <c r="V71" s="260"/>
      <c r="W71" s="260"/>
      <c r="X71" s="260"/>
      <c r="Y71" s="260"/>
      <c r="Z71" s="260"/>
    </row>
    <row r="72" spans="2:26" s="262" customFormat="1" hidden="1">
      <c r="B72" s="253" t="s">
        <v>395</v>
      </c>
      <c r="E72" s="267">
        <f>+_xlfn.XLOOKUP($B72,Inputs!$B:$B,Inputs!O:O)</f>
        <v>0</v>
      </c>
      <c r="F72" s="267">
        <f>+_xlfn.XLOOKUP($B72,Inputs!$B:$B,Inputs!P:P)</f>
        <v>0</v>
      </c>
      <c r="G72" s="268">
        <f>+_xlfn.XLOOKUP($B72,Inputs!$B:$B,Inputs!Q:Q)</f>
        <v>0</v>
      </c>
      <c r="H72" s="141">
        <f>+H73*H$17</f>
        <v>0</v>
      </c>
      <c r="I72" s="141">
        <f t="shared" ref="I72:P72" si="56">+I73*I$17</f>
        <v>0</v>
      </c>
      <c r="J72" s="141">
        <f t="shared" si="56"/>
        <v>0</v>
      </c>
      <c r="K72" s="141">
        <f t="shared" si="56"/>
        <v>0</v>
      </c>
      <c r="L72" s="141">
        <f t="shared" si="56"/>
        <v>0</v>
      </c>
      <c r="M72" s="141">
        <f t="shared" si="56"/>
        <v>0</v>
      </c>
      <c r="N72" s="141">
        <f t="shared" si="56"/>
        <v>0</v>
      </c>
      <c r="O72" s="141">
        <f t="shared" si="56"/>
        <v>0</v>
      </c>
      <c r="P72" s="141">
        <f t="shared" si="56"/>
        <v>0</v>
      </c>
      <c r="Q72" s="141">
        <f t="shared" ref="Q72:Z72" si="57">+Q73*Q$17</f>
        <v>0</v>
      </c>
      <c r="R72" s="141">
        <f t="shared" si="57"/>
        <v>0</v>
      </c>
      <c r="S72" s="141">
        <f t="shared" si="57"/>
        <v>0</v>
      </c>
      <c r="T72" s="141">
        <f t="shared" si="57"/>
        <v>0</v>
      </c>
      <c r="U72" s="141">
        <f t="shared" si="57"/>
        <v>0</v>
      </c>
      <c r="V72" s="141">
        <f t="shared" si="57"/>
        <v>0</v>
      </c>
      <c r="W72" s="141">
        <f t="shared" si="57"/>
        <v>0</v>
      </c>
      <c r="X72" s="141">
        <f t="shared" si="57"/>
        <v>0</v>
      </c>
      <c r="Y72" s="141">
        <f t="shared" si="57"/>
        <v>0</v>
      </c>
      <c r="Z72" s="141">
        <f t="shared" si="57"/>
        <v>0</v>
      </c>
    </row>
    <row r="73" spans="2:26" s="262" customFormat="1" ht="14.25" hidden="1">
      <c r="B73" s="271" t="s">
        <v>379</v>
      </c>
      <c r="E73" s="256"/>
      <c r="F73" s="256"/>
      <c r="G73" s="258"/>
      <c r="H73" s="278"/>
      <c r="I73" s="278"/>
      <c r="J73" s="278"/>
      <c r="K73" s="278"/>
      <c r="L73" s="278"/>
      <c r="M73" s="278"/>
      <c r="N73" s="278"/>
      <c r="O73" s="278"/>
      <c r="P73" s="278"/>
      <c r="Q73" s="278"/>
      <c r="R73" s="278"/>
      <c r="S73" s="278"/>
      <c r="T73" s="278"/>
      <c r="U73" s="278"/>
      <c r="V73" s="278"/>
      <c r="W73" s="278"/>
      <c r="X73" s="278"/>
      <c r="Y73" s="278"/>
      <c r="Z73" s="278"/>
    </row>
    <row r="74" spans="2:26" s="262" customFormat="1" ht="5.25" hidden="1" customHeight="1">
      <c r="B74" s="271"/>
      <c r="E74" s="256"/>
      <c r="F74" s="256"/>
      <c r="G74" s="258"/>
      <c r="H74" s="260"/>
      <c r="I74" s="260"/>
      <c r="J74" s="260"/>
      <c r="K74" s="260"/>
      <c r="L74" s="260"/>
      <c r="M74" s="260"/>
      <c r="N74" s="260"/>
      <c r="O74" s="260"/>
      <c r="P74" s="260"/>
      <c r="Q74" s="260"/>
      <c r="R74" s="260"/>
      <c r="S74" s="260"/>
      <c r="T74" s="260"/>
      <c r="U74" s="260"/>
      <c r="V74" s="260"/>
      <c r="W74" s="260"/>
      <c r="X74" s="260"/>
      <c r="Y74" s="260"/>
      <c r="Z74" s="260"/>
    </row>
    <row r="75" spans="2:26" s="262" customFormat="1" hidden="1">
      <c r="B75" s="253" t="s">
        <v>396</v>
      </c>
      <c r="E75" s="267">
        <f>+_xlfn.XLOOKUP($B75,Inputs!$B:$B,Inputs!O:O)</f>
        <v>-30142</v>
      </c>
      <c r="F75" s="267">
        <f>+_xlfn.XLOOKUP($B75,Inputs!$B:$B,Inputs!P:P)</f>
        <v>19291</v>
      </c>
      <c r="G75" s="268">
        <f>+_xlfn.XLOOKUP($B75,Inputs!$B:$B,Inputs!Q:Q)</f>
        <v>117382</v>
      </c>
      <c r="H75" s="277">
        <f t="shared" ref="H75:Z75" si="58">IFERROR(AVERAGE(E75:G75)*(1+H31),"")</f>
        <v>56816.53333333334</v>
      </c>
      <c r="I75" s="277">
        <f t="shared" si="58"/>
        <v>103194.41777777778</v>
      </c>
      <c r="J75" s="277">
        <f t="shared" si="58"/>
        <v>138696.47555555555</v>
      </c>
      <c r="K75" s="277">
        <f t="shared" si="58"/>
        <v>149353.71333333332</v>
      </c>
      <c r="L75" s="277">
        <f t="shared" si="58"/>
        <v>195622.30333333332</v>
      </c>
      <c r="M75" s="277">
        <f t="shared" si="58"/>
        <v>225713.82970370364</v>
      </c>
      <c r="N75" s="277">
        <f t="shared" si="58"/>
        <v>266321.92830617278</v>
      </c>
      <c r="O75" s="277">
        <f t="shared" si="58"/>
        <v>320907.0952934979</v>
      </c>
      <c r="P75" s="277">
        <f t="shared" si="58"/>
        <v>352275.23643146217</v>
      </c>
      <c r="Q75" s="277">
        <f t="shared" si="58"/>
        <v>407118.51268015767</v>
      </c>
      <c r="R75" s="277">
        <f t="shared" si="58"/>
        <v>468130.36590888444</v>
      </c>
      <c r="S75" s="277">
        <f t="shared" si="58"/>
        <v>511468.38125854346</v>
      </c>
      <c r="T75" s="277">
        <f t="shared" si="58"/>
        <v>577798.85826982732</v>
      </c>
      <c r="U75" s="277">
        <f t="shared" si="58"/>
        <v>648915.6689321897</v>
      </c>
      <c r="V75" s="277">
        <f t="shared" si="58"/>
        <v>724242.87852523359</v>
      </c>
      <c r="W75" s="277">
        <f t="shared" si="58"/>
        <v>812898.91905302112</v>
      </c>
      <c r="X75" s="277">
        <f t="shared" si="58"/>
        <v>874422.98660417774</v>
      </c>
      <c r="Y75" s="277">
        <f t="shared" si="58"/>
        <v>964625.91367297305</v>
      </c>
      <c r="Z75" s="277">
        <f t="shared" si="58"/>
        <v>1060779.1277320688</v>
      </c>
    </row>
    <row r="76" spans="2:26" ht="3.75" hidden="1" customHeight="1">
      <c r="B76" s="132"/>
      <c r="G76" s="127"/>
      <c r="H76" s="110"/>
      <c r="I76" s="110"/>
      <c r="J76" s="110"/>
      <c r="K76" s="110"/>
      <c r="L76" s="110"/>
      <c r="O76" s="110"/>
      <c r="P76" s="110"/>
      <c r="Q76" s="110"/>
      <c r="R76" s="110"/>
      <c r="S76" s="110"/>
      <c r="T76" s="110"/>
      <c r="U76" s="110"/>
      <c r="V76" s="110"/>
      <c r="W76" s="110"/>
      <c r="X76" s="110"/>
      <c r="Y76" s="110"/>
      <c r="Z76" s="110"/>
    </row>
    <row r="77" spans="2:26" ht="13.5" hidden="1" customHeight="1">
      <c r="B77" s="178" t="s">
        <v>262</v>
      </c>
      <c r="E77" s="267">
        <f>+_xlfn.XLOOKUP($B77,Inputs!$B:$B,Inputs!O:O)</f>
        <v>-48511</v>
      </c>
      <c r="F77" s="267">
        <f>+_xlfn.XLOOKUP($B77,Inputs!$B:$B,Inputs!P:P)</f>
        <v>-157723</v>
      </c>
      <c r="G77" s="268">
        <f>+_xlfn.XLOOKUP($B77,Inputs!$B:$B,Inputs!Q:Q)</f>
        <v>-331588</v>
      </c>
      <c r="H77" s="137">
        <f>IFERROR(+H60-H63-H72-H75,"")</f>
        <v>-341156.29761983757</v>
      </c>
      <c r="I77" s="137">
        <f t="shared" ref="I77:P77" si="59">IFERROR(+I60-I63-I72-I75,"")</f>
        <v>-451763.7460513027</v>
      </c>
      <c r="J77" s="137">
        <f t="shared" si="59"/>
        <v>-560081.21850965032</v>
      </c>
      <c r="K77" s="137">
        <f t="shared" si="59"/>
        <v>-655904.28414952825</v>
      </c>
      <c r="L77" s="137">
        <f t="shared" si="59"/>
        <v>-762227.86401147174</v>
      </c>
      <c r="M77" s="137">
        <f t="shared" si="59"/>
        <v>-835769.95319415431</v>
      </c>
      <c r="N77" s="137">
        <f t="shared" si="59"/>
        <v>-880424.60459659994</v>
      </c>
      <c r="O77" s="137">
        <f t="shared" si="59"/>
        <v>-894015.92903803824</v>
      </c>
      <c r="P77" s="137">
        <f t="shared" si="59"/>
        <v>-878232.90965686343</v>
      </c>
      <c r="Q77" s="137">
        <f t="shared" ref="Q77:Z77" si="60">IFERROR(+Q60-Q63-Q72-Q75,"")</f>
        <v>-843866.4878456326</v>
      </c>
      <c r="R77" s="137">
        <f t="shared" si="60"/>
        <v>-772819.71163533255</v>
      </c>
      <c r="S77" s="137">
        <f t="shared" si="60"/>
        <v>-642401.67616725853</v>
      </c>
      <c r="T77" s="137">
        <f t="shared" si="60"/>
        <v>-479908.36198606098</v>
      </c>
      <c r="U77" s="137">
        <f t="shared" si="60"/>
        <v>-225767.04094054224</v>
      </c>
      <c r="V77" s="137">
        <f t="shared" si="60"/>
        <v>116343.56040111487</v>
      </c>
      <c r="W77" s="137">
        <f t="shared" si="60"/>
        <v>559819.06528092152</v>
      </c>
      <c r="X77" s="137">
        <f t="shared" si="60"/>
        <v>1005036.8768457525</v>
      </c>
      <c r="Y77" s="137">
        <f t="shared" si="60"/>
        <v>1529739.0961151156</v>
      </c>
      <c r="Z77" s="137">
        <f t="shared" si="60"/>
        <v>2178762.8771271468</v>
      </c>
    </row>
    <row r="78" spans="2:26" ht="5.25" hidden="1" customHeight="1">
      <c r="G78" s="127"/>
      <c r="H78" s="110"/>
      <c r="I78" s="110"/>
      <c r="J78" s="110"/>
      <c r="K78" s="110"/>
      <c r="L78" s="110"/>
      <c r="O78" s="110"/>
      <c r="P78" s="110"/>
      <c r="Q78" s="110"/>
      <c r="R78" s="110"/>
      <c r="S78" s="110"/>
      <c r="T78" s="110"/>
      <c r="U78" s="110"/>
      <c r="V78" s="110"/>
      <c r="W78" s="110"/>
      <c r="X78" s="110"/>
      <c r="Y78" s="110"/>
      <c r="Z78" s="110"/>
    </row>
    <row r="79" spans="2:26" hidden="1">
      <c r="B79" s="105" t="s">
        <v>263</v>
      </c>
      <c r="E79" s="130">
        <f>+_xlfn.XLOOKUP($B79,Inputs!$B:$B,Inputs!O:O)</f>
        <v>0</v>
      </c>
      <c r="F79" s="793">
        <f>+_xlfn.XLOOKUP($B79,Inputs!$B:$B,Inputs!P:P)</f>
        <v>4.8000000000000001E-2</v>
      </c>
      <c r="G79" s="795">
        <f>+_xlfn.XLOOKUP($B79,Inputs!$B:$B,Inputs!Q:Q)</f>
        <v>5.8999999999999997E-2</v>
      </c>
      <c r="H79" s="796">
        <f t="shared" ref="H79:Z79" si="61">IFERROR(H80*H$60,"")</f>
        <v>-59711.350500165892</v>
      </c>
      <c r="I79" s="796">
        <f t="shared" si="61"/>
        <v>-73199.558937440233</v>
      </c>
      <c r="J79" s="796">
        <f t="shared" si="61"/>
        <v>-88490.796020359907</v>
      </c>
      <c r="K79" s="796">
        <f t="shared" si="61"/>
        <v>-106375.61987140092</v>
      </c>
      <c r="L79" s="796">
        <f t="shared" si="61"/>
        <v>-118987.16774240906</v>
      </c>
      <c r="M79" s="796">
        <f t="shared" si="61"/>
        <v>-128111.78593299464</v>
      </c>
      <c r="N79" s="796">
        <f t="shared" si="61"/>
        <v>-128961.56202098969</v>
      </c>
      <c r="O79" s="796">
        <f t="shared" si="61"/>
        <v>-120352.85508635346</v>
      </c>
      <c r="P79" s="796">
        <f t="shared" si="61"/>
        <v>-110451.11137733427</v>
      </c>
      <c r="Q79" s="796">
        <f t="shared" si="61"/>
        <v>-91717.074784749726</v>
      </c>
      <c r="R79" s="796">
        <f t="shared" si="61"/>
        <v>-63984.762602554089</v>
      </c>
      <c r="S79" s="796">
        <f t="shared" si="61"/>
        <v>-27495.991930830176</v>
      </c>
      <c r="T79" s="796">
        <f t="shared" si="61"/>
        <v>20557.004219590934</v>
      </c>
      <c r="U79" s="796">
        <f t="shared" si="61"/>
        <v>88861.211878245958</v>
      </c>
      <c r="V79" s="796">
        <f t="shared" si="61"/>
        <v>176523.15217453317</v>
      </c>
      <c r="W79" s="796">
        <f t="shared" si="61"/>
        <v>288270.77671012795</v>
      </c>
      <c r="X79" s="796">
        <f t="shared" si="61"/>
        <v>394686.57132448535</v>
      </c>
      <c r="Y79" s="796">
        <f t="shared" si="61"/>
        <v>523816.65205549856</v>
      </c>
      <c r="Z79" s="796">
        <f t="shared" si="61"/>
        <v>680303.82102043519</v>
      </c>
    </row>
    <row r="80" spans="2:26" s="254" customFormat="1" ht="14.25" hidden="1">
      <c r="B80" s="254" t="s">
        <v>397</v>
      </c>
      <c r="E80" s="794">
        <f>IFERROR(E79/E77,"")</f>
        <v>0</v>
      </c>
      <c r="F80" s="797">
        <f t="shared" ref="F80:G80" si="62">IFERROR(F79/F77,"")</f>
        <v>-3.0433101069596699E-7</v>
      </c>
      <c r="G80" s="798">
        <f t="shared" si="62"/>
        <v>-1.7793165012002847E-7</v>
      </c>
      <c r="H80" s="792">
        <v>0.21</v>
      </c>
      <c r="I80" s="792">
        <v>0.21</v>
      </c>
      <c r="J80" s="792">
        <v>0.21</v>
      </c>
      <c r="K80" s="792">
        <v>0.21</v>
      </c>
      <c r="L80" s="792">
        <v>0.21</v>
      </c>
      <c r="M80" s="792">
        <v>0.21</v>
      </c>
      <c r="N80" s="792">
        <v>0.21</v>
      </c>
      <c r="O80" s="792">
        <v>0.21</v>
      </c>
      <c r="P80" s="792">
        <v>0.21</v>
      </c>
      <c r="Q80" s="792">
        <v>0.21</v>
      </c>
      <c r="R80" s="792">
        <v>0.21</v>
      </c>
      <c r="S80" s="792">
        <v>0.21</v>
      </c>
      <c r="T80" s="792">
        <v>0.21</v>
      </c>
      <c r="U80" s="792">
        <v>0.21</v>
      </c>
      <c r="V80" s="792">
        <v>0.21</v>
      </c>
      <c r="W80" s="792">
        <v>0.21</v>
      </c>
      <c r="X80" s="792">
        <v>0.21</v>
      </c>
      <c r="Y80" s="792">
        <v>0.21</v>
      </c>
      <c r="Z80" s="792">
        <v>0.21</v>
      </c>
    </row>
    <row r="81" spans="1:26" s="254" customFormat="1" ht="3.75" hidden="1" customHeight="1">
      <c r="E81" s="256"/>
      <c r="F81" s="256"/>
      <c r="G81" s="258"/>
      <c r="H81" s="270"/>
      <c r="I81" s="270"/>
      <c r="J81" s="270"/>
      <c r="K81" s="270"/>
      <c r="L81" s="270"/>
      <c r="M81" s="270"/>
      <c r="N81" s="270"/>
      <c r="O81" s="270"/>
      <c r="P81" s="270"/>
      <c r="Q81" s="270"/>
      <c r="R81" s="270"/>
      <c r="S81" s="270"/>
      <c r="T81" s="270"/>
      <c r="U81" s="270"/>
      <c r="V81" s="270"/>
      <c r="W81" s="270"/>
      <c r="X81" s="270"/>
      <c r="Y81" s="270"/>
      <c r="Z81" s="270"/>
    </row>
    <row r="82" spans="1:26" s="254" customFormat="1" hidden="1">
      <c r="B82" s="105" t="s">
        <v>264</v>
      </c>
      <c r="E82" s="130">
        <f>+_xlfn.XLOOKUP($B82,Inputs!$B:$B,Inputs!O:O)</f>
        <v>-48511</v>
      </c>
      <c r="F82" s="130">
        <f>+_xlfn.XLOOKUP($B82,Inputs!$B:$B,Inputs!P:P)</f>
        <v>-157723.04800000001</v>
      </c>
      <c r="G82" s="246">
        <f>+_xlfn.XLOOKUP($B82,Inputs!$B:$B,Inputs!Q:Q)</f>
        <v>-331588.05900000001</v>
      </c>
      <c r="H82" s="137">
        <f>IFERROR(+H77-H79,"")</f>
        <v>-281444.94711967168</v>
      </c>
      <c r="I82" s="137">
        <f t="shared" ref="I82:P82" si="63">IFERROR(+I77-I79,"")</f>
        <v>-378564.18711386248</v>
      </c>
      <c r="J82" s="137">
        <f>IFERROR(+J77-J79,"")</f>
        <v>-471590.42248929042</v>
      </c>
      <c r="K82" s="137">
        <f t="shared" si="63"/>
        <v>-549528.66427812737</v>
      </c>
      <c r="L82" s="137">
        <f t="shared" si="63"/>
        <v>-643240.6962690627</v>
      </c>
      <c r="M82" s="137">
        <f t="shared" si="63"/>
        <v>-707658.16726115963</v>
      </c>
      <c r="N82" s="137">
        <f t="shared" si="63"/>
        <v>-751463.04257561022</v>
      </c>
      <c r="O82" s="137">
        <f t="shared" si="63"/>
        <v>-773663.07395168475</v>
      </c>
      <c r="P82" s="137">
        <f t="shared" si="63"/>
        <v>-767781.7982795292</v>
      </c>
      <c r="Q82" s="137">
        <f t="shared" ref="Q82:Z82" si="64">IFERROR(+Q77-Q79,"")</f>
        <v>-752149.41306088283</v>
      </c>
      <c r="R82" s="137">
        <f t="shared" si="64"/>
        <v>-708834.9490327785</v>
      </c>
      <c r="S82" s="137">
        <f t="shared" si="64"/>
        <v>-614905.68423642835</v>
      </c>
      <c r="T82" s="137">
        <f t="shared" si="64"/>
        <v>-500465.3662056519</v>
      </c>
      <c r="U82" s="137">
        <f t="shared" si="64"/>
        <v>-314628.25281878817</v>
      </c>
      <c r="V82" s="137">
        <f t="shared" si="64"/>
        <v>-60179.591773418302</v>
      </c>
      <c r="W82" s="137">
        <f t="shared" si="64"/>
        <v>271548.28857079358</v>
      </c>
      <c r="X82" s="137">
        <f>IFERROR(+X77-X79,"")</f>
        <v>610350.30552126712</v>
      </c>
      <c r="Y82" s="137">
        <f t="shared" si="64"/>
        <v>1005922.444059617</v>
      </c>
      <c r="Z82" s="137">
        <f t="shared" si="64"/>
        <v>1498459.0561067117</v>
      </c>
    </row>
    <row r="83" spans="1:26" s="254" customFormat="1" ht="14.25">
      <c r="B83" s="254" t="s">
        <v>43</v>
      </c>
      <c r="E83" s="256">
        <f t="shared" ref="E83:P83" si="65">IFERROR(E82/E$30,"")</f>
        <v>-4.3581888419728685</v>
      </c>
      <c r="F83" s="256">
        <f t="shared" si="65"/>
        <v>-7.1555688231557939</v>
      </c>
      <c r="G83" s="258">
        <f t="shared" si="65"/>
        <v>-7.698281034522787</v>
      </c>
      <c r="H83" s="256">
        <f t="shared" si="65"/>
        <v>-4.0838365553779585</v>
      </c>
      <c r="I83" s="256">
        <f t="shared" si="65"/>
        <v>-3.4331631321559337</v>
      </c>
      <c r="J83" s="256">
        <f t="shared" si="65"/>
        <v>-2.8512062279522215</v>
      </c>
      <c r="K83" s="256">
        <f t="shared" si="65"/>
        <v>-2.2149439786578702</v>
      </c>
      <c r="L83" s="256">
        <f t="shared" si="65"/>
        <v>-1.7284413591059629</v>
      </c>
      <c r="M83" s="256">
        <f t="shared" si="65"/>
        <v>-1.3582403373349832</v>
      </c>
      <c r="N83" s="256">
        <f t="shared" si="65"/>
        <v>-1.0302264402932459</v>
      </c>
      <c r="O83" s="256">
        <f t="shared" si="65"/>
        <v>-0.75761558216177793</v>
      </c>
      <c r="P83" s="256">
        <f t="shared" si="65"/>
        <v>-0.57835099786114619</v>
      </c>
      <c r="Q83" s="256">
        <f t="shared" ref="Q83:Z83" si="66">IFERROR(Q82/Q$30,"")</f>
        <v>-0.43582731503946087</v>
      </c>
      <c r="R83" s="256">
        <f t="shared" si="66"/>
        <v>-0.31594544226146537</v>
      </c>
      <c r="S83" s="256">
        <f t="shared" si="66"/>
        <v>-0.21926305820023381</v>
      </c>
      <c r="T83" s="256">
        <f t="shared" si="66"/>
        <v>-0.14276474526829599</v>
      </c>
      <c r="U83" s="256">
        <f t="shared" si="66"/>
        <v>-7.1801687630749067E-2</v>
      </c>
      <c r="V83" s="256">
        <f t="shared" si="66"/>
        <v>-1.0986924947899523E-2</v>
      </c>
      <c r="W83" s="256">
        <f t="shared" si="66"/>
        <v>3.9661028974619164E-2</v>
      </c>
      <c r="X83" s="256">
        <f t="shared" si="66"/>
        <v>7.4287343389742869E-2</v>
      </c>
      <c r="Y83" s="256">
        <f t="shared" si="66"/>
        <v>0.1020278919462565</v>
      </c>
      <c r="Z83" s="256">
        <f t="shared" si="66"/>
        <v>0.12665374914105887</v>
      </c>
    </row>
    <row r="84" spans="1:26" ht="3.75" hidden="1" customHeight="1">
      <c r="B84" s="132"/>
      <c r="G84" s="127"/>
    </row>
    <row r="85" spans="1:26" ht="15.75">
      <c r="A85" s="105" t="s">
        <v>349</v>
      </c>
      <c r="B85" s="43" t="s">
        <v>267</v>
      </c>
      <c r="C85" s="47"/>
      <c r="D85" s="47"/>
      <c r="E85" s="116">
        <f t="shared" ref="E85:Z85" si="67">E28</f>
        <v>2022</v>
      </c>
      <c r="F85" s="116">
        <f t="shared" si="67"/>
        <v>2023</v>
      </c>
      <c r="G85" s="117">
        <f t="shared" si="67"/>
        <v>2024</v>
      </c>
      <c r="H85" s="88">
        <f t="shared" si="67"/>
        <v>2025</v>
      </c>
      <c r="I85" s="88">
        <f t="shared" si="67"/>
        <v>2026</v>
      </c>
      <c r="J85" s="88">
        <f t="shared" si="67"/>
        <v>2027</v>
      </c>
      <c r="K85" s="88">
        <f t="shared" si="67"/>
        <v>2028</v>
      </c>
      <c r="L85" s="88">
        <f t="shared" si="67"/>
        <v>2029</v>
      </c>
      <c r="M85" s="88">
        <f t="shared" si="67"/>
        <v>2030</v>
      </c>
      <c r="N85" s="88">
        <f t="shared" si="67"/>
        <v>2031</v>
      </c>
      <c r="O85" s="88">
        <f t="shared" si="67"/>
        <v>2032</v>
      </c>
      <c r="P85" s="88">
        <f t="shared" si="67"/>
        <v>2033</v>
      </c>
      <c r="Q85" s="88">
        <f t="shared" si="67"/>
        <v>2034</v>
      </c>
      <c r="R85" s="88">
        <f t="shared" si="67"/>
        <v>2035</v>
      </c>
      <c r="S85" s="88">
        <f t="shared" si="67"/>
        <v>2036</v>
      </c>
      <c r="T85" s="88">
        <f t="shared" si="67"/>
        <v>2037</v>
      </c>
      <c r="U85" s="88">
        <f t="shared" si="67"/>
        <v>2038</v>
      </c>
      <c r="V85" s="88">
        <f t="shared" si="67"/>
        <v>2039</v>
      </c>
      <c r="W85" s="88">
        <f t="shared" si="67"/>
        <v>2040</v>
      </c>
      <c r="X85" s="88">
        <f t="shared" si="67"/>
        <v>2041</v>
      </c>
      <c r="Y85" s="88">
        <f t="shared" si="67"/>
        <v>2042</v>
      </c>
      <c r="Z85" s="88">
        <f t="shared" si="67"/>
        <v>2043</v>
      </c>
    </row>
    <row r="86" spans="1:26" ht="3.95" customHeight="1">
      <c r="B86" s="144"/>
      <c r="C86" s="44"/>
      <c r="D86" s="44"/>
      <c r="E86" s="44"/>
      <c r="F86" s="44"/>
      <c r="G86" s="145"/>
      <c r="H86" s="44"/>
      <c r="I86" s="44"/>
      <c r="J86" s="44"/>
      <c r="K86" s="44"/>
      <c r="L86" s="44"/>
      <c r="M86" s="44"/>
      <c r="N86" s="44"/>
      <c r="O86" s="44"/>
      <c r="P86" s="44"/>
      <c r="Q86" s="44"/>
      <c r="R86" s="44"/>
      <c r="S86" s="44"/>
      <c r="T86" s="44"/>
      <c r="U86" s="44"/>
      <c r="V86" s="44"/>
      <c r="W86" s="44"/>
      <c r="X86" s="44"/>
      <c r="Y86" s="44"/>
      <c r="Z86" s="44"/>
    </row>
    <row r="87" spans="1:26" ht="13.5" customHeight="1">
      <c r="B87" s="129" t="s">
        <v>398</v>
      </c>
      <c r="G87" s="138"/>
    </row>
    <row r="88" spans="1:26" ht="5.25" customHeight="1">
      <c r="B88" s="132"/>
      <c r="G88" s="138"/>
    </row>
    <row r="89" spans="1:26" ht="13.5" customHeight="1">
      <c r="B89" s="105" t="s">
        <v>399</v>
      </c>
      <c r="E89" s="130">
        <f>+_xlfn.XLOOKUP($B89,Inputs!$B:$B,Inputs!O:O)</f>
        <v>355797</v>
      </c>
      <c r="F89" s="130">
        <f>+_xlfn.XLOOKUP($B89,Inputs!$B:$B,Inputs!P:P)</f>
        <v>355441</v>
      </c>
      <c r="G89" s="246">
        <f>+_xlfn.XLOOKUP($B89,Inputs!$B:$B,Inputs!Q:Q)</f>
        <v>340289</v>
      </c>
      <c r="H89" s="148">
        <f t="shared" ref="H89:Z89" ca="1" si="68">IFERROR(G89+H167,"")</f>
        <v>54852.613005188701</v>
      </c>
      <c r="I89" s="148">
        <f t="shared" ca="1" si="68"/>
        <v>-453756.33704259171</v>
      </c>
      <c r="J89" s="148">
        <f t="shared" ca="1" si="68"/>
        <v>-703982.18997484201</v>
      </c>
      <c r="K89" s="148">
        <f t="shared" ca="1" si="68"/>
        <v>-1467316.1497558979</v>
      </c>
      <c r="L89" s="148">
        <f t="shared" ca="1" si="68"/>
        <v>-2031772.559172286</v>
      </c>
      <c r="M89" s="148">
        <f t="shared" ca="1" si="68"/>
        <v>-2920294.9683135734</v>
      </c>
      <c r="N89" s="148">
        <f t="shared" ca="1" si="68"/>
        <v>-3709392.4712593504</v>
      </c>
      <c r="O89" s="148">
        <f t="shared" ca="1" si="68"/>
        <v>-4876034.8839345761</v>
      </c>
      <c r="P89" s="148">
        <f t="shared" ca="1" si="68"/>
        <v>-5788379.363221433</v>
      </c>
      <c r="Q89" s="148">
        <f t="shared" ca="1" si="68"/>
        <v>-7161391.5040758085</v>
      </c>
      <c r="R89" s="148">
        <f t="shared" ca="1" si="68"/>
        <v>-8107076.0168969557</v>
      </c>
      <c r="S89" s="148">
        <f t="shared" ca="1" si="68"/>
        <v>-9622498.4401411451</v>
      </c>
      <c r="T89" s="148">
        <f t="shared" ca="1" si="68"/>
        <v>-10617690.097248379</v>
      </c>
      <c r="U89" s="148">
        <f t="shared" ca="1" si="68"/>
        <v>-12054497.002932688</v>
      </c>
      <c r="V89" s="148">
        <f t="shared" ca="1" si="68"/>
        <v>-13316411.059154298</v>
      </c>
      <c r="W89" s="148">
        <f t="shared" ca="1" si="68"/>
        <v>-14648201.075862939</v>
      </c>
      <c r="X89" s="148">
        <f t="shared" ca="1" si="68"/>
        <v>-15842154.30922755</v>
      </c>
      <c r="Y89" s="148">
        <f t="shared" ca="1" si="68"/>
        <v>-16850667.183214005</v>
      </c>
      <c r="Z89" s="148">
        <f t="shared" ca="1" si="68"/>
        <v>-17649206.230573535</v>
      </c>
    </row>
    <row r="90" spans="1:26" ht="3.75" customHeight="1">
      <c r="E90" s="130"/>
      <c r="F90" s="130"/>
      <c r="G90" s="246"/>
    </row>
    <row r="91" spans="1:26">
      <c r="B91" s="105" t="s">
        <v>269</v>
      </c>
      <c r="E91" s="130">
        <f>+_xlfn.XLOOKUP($B91,Inputs!$B:$B,Inputs!O:O)</f>
        <v>3292</v>
      </c>
      <c r="F91" s="130">
        <f>+_xlfn.XLOOKUP($B91,Inputs!$B:$B,Inputs!P:P)</f>
        <v>11467</v>
      </c>
      <c r="G91" s="246">
        <f>+_xlfn.XLOOKUP($B91,Inputs!$B:$B,Inputs!Q:Q)</f>
        <v>6516</v>
      </c>
      <c r="H91" s="148">
        <f t="shared" ref="H91:Z91" si="69">IFERROR(H92*H30/365,"")</f>
        <v>10454.163287671234</v>
      </c>
      <c r="I91" s="148">
        <f t="shared" si="69"/>
        <v>16726.661260273977</v>
      </c>
      <c r="J91" s="148">
        <f t="shared" si="69"/>
        <v>25089.991890410962</v>
      </c>
      <c r="K91" s="148">
        <f t="shared" si="69"/>
        <v>37634.987835616448</v>
      </c>
      <c r="L91" s="148">
        <f t="shared" si="69"/>
        <v>56452.481753424669</v>
      </c>
      <c r="M91" s="148">
        <f t="shared" si="69"/>
        <v>79033.474454794545</v>
      </c>
      <c r="N91" s="148">
        <f t="shared" si="69"/>
        <v>110646.86423671234</v>
      </c>
      <c r="O91" s="148">
        <f t="shared" si="69"/>
        <v>154905.60993139725</v>
      </c>
      <c r="P91" s="148">
        <f t="shared" si="69"/>
        <v>201377.29291081644</v>
      </c>
      <c r="Q91" s="148">
        <f t="shared" si="69"/>
        <v>261790.48078406139</v>
      </c>
      <c r="R91" s="148">
        <f t="shared" si="69"/>
        <v>340327.62501927983</v>
      </c>
      <c r="S91" s="148">
        <f t="shared" si="69"/>
        <v>425409.53127409978</v>
      </c>
      <c r="T91" s="148">
        <f t="shared" si="69"/>
        <v>531761.91409262479</v>
      </c>
      <c r="U91" s="148">
        <f t="shared" si="69"/>
        <v>664702.39261578093</v>
      </c>
      <c r="V91" s="148">
        <f t="shared" si="69"/>
        <v>830877.99076972611</v>
      </c>
      <c r="W91" s="148">
        <f t="shared" si="69"/>
        <v>1038597.4884621577</v>
      </c>
      <c r="X91" s="148">
        <f t="shared" si="69"/>
        <v>1246316.9861545891</v>
      </c>
      <c r="Y91" s="148">
        <f t="shared" si="69"/>
        <v>1495580.3833855072</v>
      </c>
      <c r="Z91" s="148">
        <f t="shared" si="69"/>
        <v>1794696.4600626084</v>
      </c>
    </row>
    <row r="92" spans="1:26">
      <c r="B92" s="253" t="s">
        <v>400</v>
      </c>
      <c r="E92" s="283">
        <f>IFERROR(E91/E30*365,"")</f>
        <v>107.94897134129907</v>
      </c>
      <c r="F92" s="283">
        <f>IFERROR(F91/F30*365,"")</f>
        <v>189.88544596679066</v>
      </c>
      <c r="G92" s="284">
        <f>IFERROR(G91/G30*366,"")</f>
        <v>55.367770993429765</v>
      </c>
      <c r="H92" s="285">
        <f t="shared" ref="H92:Z92" si="70">+G92</f>
        <v>55.367770993429765</v>
      </c>
      <c r="I92" s="285">
        <f t="shared" si="70"/>
        <v>55.367770993429765</v>
      </c>
      <c r="J92" s="285">
        <f t="shared" si="70"/>
        <v>55.367770993429765</v>
      </c>
      <c r="K92" s="285">
        <f t="shared" si="70"/>
        <v>55.367770993429765</v>
      </c>
      <c r="L92" s="285">
        <f t="shared" si="70"/>
        <v>55.367770993429765</v>
      </c>
      <c r="M92" s="285">
        <f t="shared" si="70"/>
        <v>55.367770993429765</v>
      </c>
      <c r="N92" s="285">
        <f t="shared" si="70"/>
        <v>55.367770993429765</v>
      </c>
      <c r="O92" s="285">
        <f t="shared" si="70"/>
        <v>55.367770993429765</v>
      </c>
      <c r="P92" s="285">
        <f t="shared" si="70"/>
        <v>55.367770993429765</v>
      </c>
      <c r="Q92" s="285">
        <f t="shared" si="70"/>
        <v>55.367770993429765</v>
      </c>
      <c r="R92" s="285">
        <f t="shared" si="70"/>
        <v>55.367770993429765</v>
      </c>
      <c r="S92" s="285">
        <f t="shared" si="70"/>
        <v>55.367770993429765</v>
      </c>
      <c r="T92" s="285">
        <f t="shared" si="70"/>
        <v>55.367770993429765</v>
      </c>
      <c r="U92" s="285">
        <f t="shared" si="70"/>
        <v>55.367770993429765</v>
      </c>
      <c r="V92" s="285">
        <f t="shared" si="70"/>
        <v>55.367770993429765</v>
      </c>
      <c r="W92" s="285">
        <f t="shared" si="70"/>
        <v>55.367770993429765</v>
      </c>
      <c r="X92" s="285">
        <f t="shared" si="70"/>
        <v>55.367770993429765</v>
      </c>
      <c r="Y92" s="285">
        <f t="shared" si="70"/>
        <v>55.367770993429765</v>
      </c>
      <c r="Z92" s="285">
        <f t="shared" si="70"/>
        <v>55.367770993429765</v>
      </c>
    </row>
    <row r="93" spans="1:26" ht="3.75" customHeight="1">
      <c r="E93" s="149"/>
      <c r="F93" s="149"/>
      <c r="G93" s="150"/>
      <c r="H93" s="148"/>
      <c r="I93" s="148"/>
      <c r="J93" s="148"/>
      <c r="K93" s="148"/>
      <c r="L93" s="148"/>
      <c r="O93" s="148"/>
      <c r="P93" s="148"/>
      <c r="Q93" s="148"/>
      <c r="R93" s="148"/>
      <c r="S93" s="148"/>
      <c r="T93" s="148"/>
      <c r="U93" s="148"/>
      <c r="V93" s="148"/>
      <c r="W93" s="148"/>
      <c r="X93" s="148"/>
      <c r="Y93" s="148"/>
      <c r="Z93" s="148"/>
    </row>
    <row r="94" spans="1:26">
      <c r="B94" s="105" t="s">
        <v>401</v>
      </c>
      <c r="E94" s="130">
        <f>+_xlfn.XLOOKUP($B94,Inputs!$B:$B,Inputs!O:O)</f>
        <v>0</v>
      </c>
      <c r="F94" s="130">
        <f>+_xlfn.XLOOKUP($B94,Inputs!$B:$B,Inputs!P:P)</f>
        <v>0</v>
      </c>
      <c r="G94" s="246">
        <f>+_xlfn.XLOOKUP($B94,Inputs!$B:$B,Inputs!Q:Q)</f>
        <v>0</v>
      </c>
      <c r="H94" s="148">
        <f>+IFERROR(H95*H33/365,"")</f>
        <v>0</v>
      </c>
      <c r="I94" s="148">
        <f>+IFERROR(I95*I33/365,"")</f>
        <v>0</v>
      </c>
      <c r="J94" s="148">
        <f>+IFERROR(J95*J33/365,"")</f>
        <v>0</v>
      </c>
      <c r="K94" s="148">
        <f>+IFERROR(K95*K33/365,"")</f>
        <v>0</v>
      </c>
      <c r="L94" s="148">
        <f>+IFERROR(L95*L33/365,"")</f>
        <v>9751.1276712328781</v>
      </c>
      <c r="M94" s="148">
        <f t="shared" ref="M94:Z94" si="71">+IFERROR(M95*M33/(365*10),"")</f>
        <v>1706.4473424657533</v>
      </c>
      <c r="N94" s="148">
        <f t="shared" si="71"/>
        <v>2866.8315353424659</v>
      </c>
      <c r="O94" s="148">
        <f t="shared" si="71"/>
        <v>4682.4915077260266</v>
      </c>
      <c r="P94" s="148">
        <f t="shared" si="71"/>
        <v>6435.0811863320532</v>
      </c>
      <c r="Q94" s="148">
        <f t="shared" si="71"/>
        <v>9043.8978834936988</v>
      </c>
      <c r="R94" s="148">
        <f t="shared" si="71"/>
        <v>11757.067248541809</v>
      </c>
      <c r="S94" s="148">
        <f t="shared" si="71"/>
        <v>14696.334060677262</v>
      </c>
      <c r="T94" s="148">
        <f t="shared" si="71"/>
        <v>18370.417575846575</v>
      </c>
      <c r="U94" s="148">
        <f t="shared" si="71"/>
        <v>22963.021969808218</v>
      </c>
      <c r="V94" s="148">
        <f t="shared" si="71"/>
        <v>28703.777462260274</v>
      </c>
      <c r="W94" s="148">
        <f t="shared" si="71"/>
        <v>35879.721827825342</v>
      </c>
      <c r="X94" s="148">
        <f t="shared" si="71"/>
        <v>43055.666193390403</v>
      </c>
      <c r="Y94" s="148">
        <f t="shared" si="71"/>
        <v>51666.799432068488</v>
      </c>
      <c r="Z94" s="148">
        <f t="shared" si="71"/>
        <v>62000.15931848219</v>
      </c>
    </row>
    <row r="95" spans="1:26">
      <c r="B95" s="132" t="s">
        <v>402</v>
      </c>
      <c r="E95" s="283">
        <f>IFERROR(E94/E33*365,"")</f>
        <v>0</v>
      </c>
      <c r="F95" s="283">
        <f>IFERROR(F94/F33*365,"")</f>
        <v>0</v>
      </c>
      <c r="G95" s="284">
        <f>IFERROR(G94/G33*365,"")</f>
        <v>0</v>
      </c>
      <c r="H95" s="285">
        <f>IFERROR(AVERAGE(E95:G95),"")</f>
        <v>0</v>
      </c>
      <c r="I95" s="285">
        <f t="shared" ref="I95:K95" si="72">IFERROR(AVERAGE(F95:H95),"")</f>
        <v>0</v>
      </c>
      <c r="J95" s="285">
        <f t="shared" si="72"/>
        <v>0</v>
      </c>
      <c r="K95" s="285">
        <f t="shared" si="72"/>
        <v>0</v>
      </c>
      <c r="L95" s="285">
        <v>20</v>
      </c>
      <c r="M95" s="285">
        <v>25</v>
      </c>
      <c r="N95" s="285">
        <v>30</v>
      </c>
      <c r="O95" s="285">
        <v>35</v>
      </c>
      <c r="P95" s="285">
        <v>37</v>
      </c>
      <c r="Q95" s="285">
        <v>40</v>
      </c>
      <c r="R95" s="285">
        <v>40</v>
      </c>
      <c r="S95" s="285">
        <v>40</v>
      </c>
      <c r="T95" s="285">
        <v>40</v>
      </c>
      <c r="U95" s="285">
        <v>40</v>
      </c>
      <c r="V95" s="285">
        <v>40</v>
      </c>
      <c r="W95" s="285">
        <v>40</v>
      </c>
      <c r="X95" s="285">
        <v>40</v>
      </c>
      <c r="Y95" s="285">
        <v>40</v>
      </c>
      <c r="Z95" s="285">
        <v>40</v>
      </c>
    </row>
    <row r="96" spans="1:26" ht="3.95" customHeight="1">
      <c r="G96" s="138"/>
    </row>
    <row r="97" spans="2:26">
      <c r="B97" s="105" t="s">
        <v>403</v>
      </c>
      <c r="E97" s="130">
        <f>+_xlfn.XLOOKUP($B97,Inputs!$B:$B,Inputs!O:O)</f>
        <v>12539</v>
      </c>
      <c r="F97" s="130">
        <f>+_xlfn.XLOOKUP($B97,Inputs!$B:$B,Inputs!P:P)</f>
        <v>23081</v>
      </c>
      <c r="G97" s="246">
        <f>+_xlfn.XLOOKUP($B97,Inputs!$B:$B,Inputs!Q:Q)</f>
        <v>31997</v>
      </c>
      <c r="H97" s="148">
        <f t="shared" ref="H97:Z97" si="73">IFERROR(AVERAGE(E97:G97)*(1+H31),"")</f>
        <v>36062.400000000001</v>
      </c>
      <c r="I97" s="148">
        <f t="shared" si="73"/>
        <v>48608.213333333333</v>
      </c>
      <c r="J97" s="148">
        <f t="shared" si="73"/>
        <v>58333.806666666656</v>
      </c>
      <c r="K97" s="148">
        <f t="shared" si="73"/>
        <v>71502.209999999992</v>
      </c>
      <c r="L97" s="148">
        <f t="shared" si="73"/>
        <v>89222.114999999991</v>
      </c>
      <c r="M97" s="148">
        <f t="shared" si="73"/>
        <v>102227.1281111111</v>
      </c>
      <c r="N97" s="148">
        <f t="shared" si="73"/>
        <v>122710.67811851848</v>
      </c>
      <c r="O97" s="148">
        <f t="shared" si="73"/>
        <v>146607.96324049379</v>
      </c>
      <c r="P97" s="148">
        <f t="shared" si="73"/>
        <v>161003.1667703868</v>
      </c>
      <c r="Q97" s="148">
        <f t="shared" si="73"/>
        <v>186472.7835227396</v>
      </c>
      <c r="R97" s="148">
        <f t="shared" si="73"/>
        <v>214103.0291979021</v>
      </c>
      <c r="S97" s="148">
        <f t="shared" si="73"/>
        <v>233991.24145459518</v>
      </c>
      <c r="T97" s="148">
        <f t="shared" si="73"/>
        <v>264402.93923968205</v>
      </c>
      <c r="U97" s="148">
        <f t="shared" si="73"/>
        <v>296873.83745507471</v>
      </c>
      <c r="V97" s="148">
        <f t="shared" si="73"/>
        <v>331361.67422889668</v>
      </c>
      <c r="W97" s="148">
        <f t="shared" si="73"/>
        <v>371932.68788485555</v>
      </c>
      <c r="X97" s="148">
        <f t="shared" si="73"/>
        <v>400067.27982753079</v>
      </c>
      <c r="Y97" s="148">
        <f t="shared" si="73"/>
        <v>441344.65677651315</v>
      </c>
      <c r="Z97" s="148">
        <f t="shared" si="73"/>
        <v>485337.84979555977</v>
      </c>
    </row>
    <row r="98" spans="2:26" s="254" customFormat="1" ht="14.25">
      <c r="B98" s="254" t="s">
        <v>404</v>
      </c>
      <c r="E98" s="280">
        <f>IFERROR(E97/E$30,"")</f>
        <v>1.1264935764980684</v>
      </c>
      <c r="F98" s="280">
        <f t="shared" ref="F98:G98" si="74">IFERROR(F97/F$30,"")</f>
        <v>1.0471372833681154</v>
      </c>
      <c r="G98" s="845">
        <f t="shared" si="74"/>
        <v>0.74285515287999437</v>
      </c>
      <c r="H98" s="280">
        <f>IFERROR(H97/H$30,"")</f>
        <v>0.52327444106516841</v>
      </c>
      <c r="I98" s="280">
        <f t="shared" ref="I98:Z98" si="75">IFERROR(I97/I$30,"")</f>
        <v>0.44082333093430531</v>
      </c>
      <c r="J98" s="280">
        <f t="shared" si="75"/>
        <v>0.35268255023126105</v>
      </c>
      <c r="K98" s="280">
        <f t="shared" si="75"/>
        <v>0.28819859598820602</v>
      </c>
      <c r="L98" s="280">
        <f t="shared" si="75"/>
        <v>0.23974725885254228</v>
      </c>
      <c r="M98" s="280">
        <f t="shared" si="75"/>
        <v>0.19620915209359857</v>
      </c>
      <c r="N98" s="280">
        <f t="shared" si="75"/>
        <v>0.16823154026405973</v>
      </c>
      <c r="O98" s="280">
        <f t="shared" si="75"/>
        <v>0.14356698821447914</v>
      </c>
      <c r="P98" s="280">
        <f t="shared" si="75"/>
        <v>0.12127969478973834</v>
      </c>
      <c r="Q98" s="280">
        <f t="shared" si="75"/>
        <v>0.10805025060103558</v>
      </c>
      <c r="R98" s="280">
        <f t="shared" si="75"/>
        <v>9.5431068038834138E-2</v>
      </c>
      <c r="S98" s="280">
        <f t="shared" si="75"/>
        <v>8.3436592811975185E-2</v>
      </c>
      <c r="T98" s="280">
        <f t="shared" si="75"/>
        <v>7.5424636383790697E-2</v>
      </c>
      <c r="U98" s="280">
        <f t="shared" si="75"/>
        <v>6.7749931392741561E-2</v>
      </c>
      <c r="V98" s="280">
        <f t="shared" si="75"/>
        <v>6.0496353299812761E-2</v>
      </c>
      <c r="W98" s="280">
        <f t="shared" si="75"/>
        <v>5.4322688566544014E-2</v>
      </c>
      <c r="X98" s="280">
        <f t="shared" si="75"/>
        <v>4.8693242432582946E-2</v>
      </c>
      <c r="Y98" s="280">
        <f>IFERROR(Y97/Y$30,"")</f>
        <v>4.4764350590414927E-2</v>
      </c>
      <c r="Z98" s="280">
        <f t="shared" si="75"/>
        <v>4.1022047299963199E-2</v>
      </c>
    </row>
    <row r="99" spans="2:26" ht="3.75" customHeight="1">
      <c r="E99" s="149"/>
      <c r="F99" s="149"/>
      <c r="G99" s="150"/>
      <c r="H99" s="148"/>
      <c r="I99" s="148"/>
      <c r="J99" s="148"/>
      <c r="K99" s="148"/>
      <c r="L99" s="148"/>
      <c r="O99" s="148"/>
      <c r="P99" s="148"/>
      <c r="Q99" s="148"/>
      <c r="R99" s="148"/>
      <c r="S99" s="148"/>
      <c r="T99" s="148"/>
      <c r="U99" s="148"/>
      <c r="V99" s="148"/>
      <c r="W99" s="148"/>
      <c r="X99" s="148"/>
      <c r="Y99" s="148"/>
      <c r="Z99" s="148"/>
    </row>
    <row r="100" spans="2:26">
      <c r="B100" s="105" t="s">
        <v>405</v>
      </c>
      <c r="E100" s="130">
        <f>+E101+E102-E104</f>
        <v>29767</v>
      </c>
      <c r="F100" s="130">
        <f t="shared" ref="F100:G100" si="76">+F101+F102-F104</f>
        <v>42128</v>
      </c>
      <c r="G100" s="246">
        <f t="shared" si="76"/>
        <v>62231</v>
      </c>
      <c r="H100" s="148">
        <f>IFERROR(H101+H102-H104,"")</f>
        <v>83018.585713495704</v>
      </c>
      <c r="I100" s="148">
        <f t="shared" ref="I100:P100" si="77">IFERROR(I101+I102-I104,"")</f>
        <v>118147.04619215275</v>
      </c>
      <c r="J100" s="148">
        <f t="shared" si="77"/>
        <v>163240.05356757675</v>
      </c>
      <c r="K100" s="148">
        <f t="shared" si="77"/>
        <v>234554.57657341126</v>
      </c>
      <c r="L100" s="148">
        <f t="shared" si="77"/>
        <v>324530.75289374252</v>
      </c>
      <c r="M100" s="148">
        <f t="shared" si="77"/>
        <v>450041.73110411357</v>
      </c>
      <c r="N100" s="148">
        <f t="shared" si="77"/>
        <v>589422.5974219254</v>
      </c>
      <c r="O100" s="148">
        <f t="shared" si="77"/>
        <v>789487.28090581449</v>
      </c>
      <c r="P100" s="148">
        <f t="shared" si="77"/>
        <v>972999.50730068586</v>
      </c>
      <c r="Q100" s="148">
        <f t="shared" ref="Q100:Z100" si="78">IFERROR(Q101+Q102-Q104,"")</f>
        <v>1212152.816601468</v>
      </c>
      <c r="R100" s="148">
        <f t="shared" si="78"/>
        <v>1298848.9214077906</v>
      </c>
      <c r="S100" s="148">
        <f t="shared" si="78"/>
        <v>1425655.3530117224</v>
      </c>
      <c r="T100" s="148">
        <f t="shared" si="78"/>
        <v>1427287.7132971436</v>
      </c>
      <c r="U100" s="148">
        <f t="shared" si="78"/>
        <v>1475779.2454135315</v>
      </c>
      <c r="V100" s="148">
        <f t="shared" si="78"/>
        <v>1582961.4929015199</v>
      </c>
      <c r="W100" s="148">
        <f t="shared" si="78"/>
        <v>1763473.841210898</v>
      </c>
      <c r="X100" s="148">
        <f t="shared" si="78"/>
        <v>1984270.6369050257</v>
      </c>
      <c r="Y100" s="148">
        <f t="shared" si="78"/>
        <v>2253445.2712449674</v>
      </c>
      <c r="Z100" s="148">
        <f t="shared" si="78"/>
        <v>2580657.2941965908</v>
      </c>
    </row>
    <row r="101" spans="2:26">
      <c r="B101" s="253" t="s">
        <v>406</v>
      </c>
      <c r="E101" s="288">
        <f>+_xlfn.XLOOKUP("Gross PP&amp;E (Property, Plant and Equipment)",Inputs!$B:$B,Inputs!O:O)</f>
        <v>37228</v>
      </c>
      <c r="F101" s="288">
        <f>+_xlfn.XLOOKUP("Gross PP&amp;E (Property, Plant and Equipment)",Inputs!$B:$B,Inputs!P:P)</f>
        <v>56727</v>
      </c>
      <c r="G101" s="295">
        <f>+_xlfn.XLOOKUP("Gross PP&amp;E (Property, Plant and Equipment)",Inputs!$B:$B,Inputs!Q:Q)</f>
        <v>89843</v>
      </c>
      <c r="H101" s="293">
        <f>+IFERROR(G101-H135,"")</f>
        <v>124301.4</v>
      </c>
      <c r="I101" s="293">
        <f t="shared" ref="I101:P101" si="79">+IFERROR(H101-I135,"")</f>
        <v>179434.84</v>
      </c>
      <c r="J101" s="293">
        <f t="shared" si="79"/>
        <v>253864.984</v>
      </c>
      <c r="K101" s="293">
        <f t="shared" si="79"/>
        <v>365510.2</v>
      </c>
      <c r="L101" s="293">
        <f t="shared" si="79"/>
        <v>514370.48800000001</v>
      </c>
      <c r="M101" s="293">
        <f t="shared" si="79"/>
        <v>722774.89120000007</v>
      </c>
      <c r="N101" s="293">
        <f t="shared" si="79"/>
        <v>978070.28512000002</v>
      </c>
      <c r="O101" s="293">
        <f t="shared" si="79"/>
        <v>1335483.8366080001</v>
      </c>
      <c r="P101" s="293">
        <f t="shared" si="79"/>
        <v>1733744.6511232001</v>
      </c>
      <c r="Q101" s="293">
        <f t="shared" ref="Q101:Z101" si="80">+IFERROR(P101-Q135,"")</f>
        <v>2251483.7099929601</v>
      </c>
      <c r="R101" s="293">
        <f t="shared" si="80"/>
        <v>2700190.8943467522</v>
      </c>
      <c r="S101" s="293">
        <f t="shared" si="80"/>
        <v>3261074.8747889921</v>
      </c>
      <c r="T101" s="293">
        <f t="shared" si="80"/>
        <v>3786903.606453592</v>
      </c>
      <c r="U101" s="293">
        <f t="shared" si="80"/>
        <v>4444189.5210343422</v>
      </c>
      <c r="V101" s="293">
        <f t="shared" si="80"/>
        <v>5265796.9142602794</v>
      </c>
      <c r="W101" s="293">
        <f t="shared" si="80"/>
        <v>6292806.1557927011</v>
      </c>
      <c r="X101" s="293">
        <f t="shared" si="80"/>
        <v>7525217.2456316072</v>
      </c>
      <c r="Y101" s="293">
        <f t="shared" si="80"/>
        <v>9004110.5534382947</v>
      </c>
      <c r="Z101" s="293">
        <f t="shared" si="80"/>
        <v>10778782.52280632</v>
      </c>
    </row>
    <row r="102" spans="2:26">
      <c r="B102" s="286" t="s">
        <v>407</v>
      </c>
      <c r="C102" s="132"/>
      <c r="D102" s="132"/>
      <c r="E102" s="288">
        <f>+_xlfn.XLOOKUP("Right-of-Use Assets",Inputs!$B:$B,Inputs!O:O)</f>
        <v>0</v>
      </c>
      <c r="F102" s="288">
        <f>+_xlfn.XLOOKUP("Right-of-Use Assets",Inputs!$B:$B,Inputs!P:P)</f>
        <v>0</v>
      </c>
      <c r="G102" s="295">
        <f>+_xlfn.XLOOKUP("Right-of-Use Assets",Inputs!$B:$B,Inputs!Q:Q)</f>
        <v>0</v>
      </c>
      <c r="H102" s="293">
        <f t="shared" ref="H102:P102" si="81">IFERROR(H103*H$30,"")</f>
        <v>0</v>
      </c>
      <c r="I102" s="293">
        <f t="shared" si="81"/>
        <v>0</v>
      </c>
      <c r="J102" s="293">
        <f t="shared" si="81"/>
        <v>0</v>
      </c>
      <c r="K102" s="293">
        <f t="shared" si="81"/>
        <v>0</v>
      </c>
      <c r="L102" s="293">
        <f t="shared" si="81"/>
        <v>0</v>
      </c>
      <c r="M102" s="293">
        <f t="shared" si="81"/>
        <v>0</v>
      </c>
      <c r="N102" s="293">
        <f t="shared" si="81"/>
        <v>0</v>
      </c>
      <c r="O102" s="293">
        <f t="shared" si="81"/>
        <v>0</v>
      </c>
      <c r="P102" s="293">
        <f t="shared" si="81"/>
        <v>0</v>
      </c>
      <c r="Q102" s="293">
        <f t="shared" ref="Q102:Z102" si="82">IFERROR(Q103*Q$30,"")</f>
        <v>0</v>
      </c>
      <c r="R102" s="293">
        <f t="shared" si="82"/>
        <v>0</v>
      </c>
      <c r="S102" s="293">
        <f t="shared" si="82"/>
        <v>0</v>
      </c>
      <c r="T102" s="293">
        <f t="shared" si="82"/>
        <v>0</v>
      </c>
      <c r="U102" s="293">
        <f t="shared" si="82"/>
        <v>0</v>
      </c>
      <c r="V102" s="293">
        <f t="shared" si="82"/>
        <v>0</v>
      </c>
      <c r="W102" s="293">
        <f t="shared" si="82"/>
        <v>0</v>
      </c>
      <c r="X102" s="293">
        <f t="shared" si="82"/>
        <v>0</v>
      </c>
      <c r="Y102" s="293">
        <f t="shared" si="82"/>
        <v>0</v>
      </c>
      <c r="Z102" s="293">
        <f t="shared" si="82"/>
        <v>0</v>
      </c>
    </row>
    <row r="103" spans="2:26">
      <c r="B103" s="296" t="s">
        <v>379</v>
      </c>
      <c r="E103" s="280">
        <f>IFERROR(E102/E$30,"")</f>
        <v>0</v>
      </c>
      <c r="F103" s="280">
        <f>IFERROR(F102/F$30,"")</f>
        <v>0</v>
      </c>
      <c r="G103" s="281">
        <f>IFERROR(G102/G$30,"")</f>
        <v>0</v>
      </c>
      <c r="H103" s="279">
        <f>IFERROR(AVERAGE(E103:G103),"")</f>
        <v>0</v>
      </c>
      <c r="I103" s="279">
        <f t="shared" ref="I103:P103" si="83">IFERROR(AVERAGE(F103:H103),"")</f>
        <v>0</v>
      </c>
      <c r="J103" s="279">
        <f t="shared" si="83"/>
        <v>0</v>
      </c>
      <c r="K103" s="279">
        <f t="shared" si="83"/>
        <v>0</v>
      </c>
      <c r="L103" s="279">
        <f t="shared" si="83"/>
        <v>0</v>
      </c>
      <c r="M103" s="279">
        <f t="shared" si="83"/>
        <v>0</v>
      </c>
      <c r="N103" s="279">
        <f t="shared" si="83"/>
        <v>0</v>
      </c>
      <c r="O103" s="279">
        <f t="shared" si="83"/>
        <v>0</v>
      </c>
      <c r="P103" s="279">
        <f t="shared" si="83"/>
        <v>0</v>
      </c>
      <c r="Q103" s="279">
        <f t="shared" ref="Q103:Z103" si="84">IFERROR(AVERAGE(N103:P103),"")</f>
        <v>0</v>
      </c>
      <c r="R103" s="279">
        <f t="shared" si="84"/>
        <v>0</v>
      </c>
      <c r="S103" s="279">
        <f t="shared" si="84"/>
        <v>0</v>
      </c>
      <c r="T103" s="279">
        <f t="shared" si="84"/>
        <v>0</v>
      </c>
      <c r="U103" s="279">
        <f t="shared" si="84"/>
        <v>0</v>
      </c>
      <c r="V103" s="279">
        <f t="shared" si="84"/>
        <v>0</v>
      </c>
      <c r="W103" s="279">
        <f t="shared" si="84"/>
        <v>0</v>
      </c>
      <c r="X103" s="279">
        <f t="shared" si="84"/>
        <v>0</v>
      </c>
      <c r="Y103" s="279">
        <f t="shared" si="84"/>
        <v>0</v>
      </c>
      <c r="Z103" s="279">
        <f t="shared" si="84"/>
        <v>0</v>
      </c>
    </row>
    <row r="104" spans="2:26">
      <c r="B104" s="253" t="s">
        <v>408</v>
      </c>
      <c r="E104" s="288">
        <f>+_xlfn.XLOOKUP($B104,Inputs!$B:$B,Inputs!O:O)</f>
        <v>7461</v>
      </c>
      <c r="F104" s="288">
        <f>+_xlfn.XLOOKUP($B104,Inputs!$B:$B,Inputs!P:P)</f>
        <v>14599</v>
      </c>
      <c r="G104" s="289">
        <f>+_xlfn.XLOOKUP($B104,Inputs!$B:$B,Inputs!Q:Q)</f>
        <v>27612</v>
      </c>
      <c r="H104" s="290">
        <f>+IFERROR(G104+H54,"")</f>
        <v>41282.81428650429</v>
      </c>
      <c r="I104" s="290">
        <f t="shared" ref="I104:P104" si="85">+IFERROR(H104+I54,"")</f>
        <v>61287.793807847258</v>
      </c>
      <c r="J104" s="290">
        <f t="shared" si="85"/>
        <v>90624.930432423265</v>
      </c>
      <c r="K104" s="290">
        <f t="shared" si="85"/>
        <v>130955.62342658875</v>
      </c>
      <c r="L104" s="290">
        <f t="shared" si="85"/>
        <v>189839.73510625752</v>
      </c>
      <c r="M104" s="290">
        <f t="shared" si="85"/>
        <v>272733.1600958865</v>
      </c>
      <c r="N104" s="290">
        <f t="shared" si="85"/>
        <v>388647.68769807462</v>
      </c>
      <c r="O104" s="290">
        <f t="shared" si="85"/>
        <v>545996.55570218561</v>
      </c>
      <c r="P104" s="290">
        <f t="shared" si="85"/>
        <v>760745.14382251422</v>
      </c>
      <c r="Q104" s="290">
        <f t="shared" ref="Q104:Z104" si="86">+IFERROR(P104+Q54,"")</f>
        <v>1039330.8933914921</v>
      </c>
      <c r="R104" s="290">
        <f t="shared" si="86"/>
        <v>1401341.9729389616</v>
      </c>
      <c r="S104" s="290">
        <f t="shared" si="86"/>
        <v>1835419.5217772697</v>
      </c>
      <c r="T104" s="290">
        <f t="shared" si="86"/>
        <v>2359615.8931564484</v>
      </c>
      <c r="U104" s="290">
        <f t="shared" si="86"/>
        <v>2968410.2756208107</v>
      </c>
      <c r="V104" s="290">
        <f t="shared" si="86"/>
        <v>3682835.4213587595</v>
      </c>
      <c r="W104" s="290">
        <f t="shared" si="86"/>
        <v>4529332.314581803</v>
      </c>
      <c r="X104" s="290">
        <f t="shared" si="86"/>
        <v>5540946.6087265816</v>
      </c>
      <c r="Y104" s="290">
        <f t="shared" si="86"/>
        <v>6750665.2821933273</v>
      </c>
      <c r="Z104" s="290">
        <f t="shared" si="86"/>
        <v>8198125.2286097296</v>
      </c>
    </row>
    <row r="105" spans="2:26" ht="5.25" customHeight="1">
      <c r="E105" s="146"/>
      <c r="F105" s="146"/>
      <c r="G105" s="147"/>
      <c r="H105" s="148"/>
      <c r="I105" s="148"/>
      <c r="J105" s="148"/>
      <c r="K105" s="148"/>
      <c r="L105" s="148"/>
      <c r="M105" s="148"/>
      <c r="N105" s="148"/>
      <c r="O105" s="148"/>
      <c r="P105" s="148"/>
      <c r="Q105" s="148"/>
      <c r="R105" s="148"/>
      <c r="S105" s="148"/>
      <c r="T105" s="148"/>
      <c r="U105" s="148"/>
      <c r="V105" s="148"/>
      <c r="W105" s="148"/>
      <c r="X105" s="148"/>
      <c r="Y105" s="148"/>
      <c r="Z105" s="148"/>
    </row>
    <row r="106" spans="2:26">
      <c r="B106" s="105" t="s">
        <v>409</v>
      </c>
      <c r="E106" s="130">
        <f>+_xlfn.XLOOKUP($B106,Inputs!$B:$B,Inputs!O:O)</f>
        <v>8944</v>
      </c>
      <c r="F106" s="130">
        <f>+_xlfn.XLOOKUP($B106,Inputs!$B:$B,Inputs!P:P)</f>
        <v>15077</v>
      </c>
      <c r="G106" s="246">
        <f>+_xlfn.XLOOKUP($B106,Inputs!$B:$B,Inputs!Q:Q)</f>
        <v>29469</v>
      </c>
      <c r="H106" s="148">
        <f>+G106+H107*H43</f>
        <v>72952.620599999995</v>
      </c>
      <c r="I106" s="148">
        <f t="shared" ref="I106:Z106" si="87">+H106+I107*I43-I57</f>
        <v>118728.86132834433</v>
      </c>
      <c r="J106" s="148">
        <f t="shared" si="87"/>
        <v>172848.45645581899</v>
      </c>
      <c r="K106" s="148">
        <f t="shared" si="87"/>
        <v>238252.86635754711</v>
      </c>
      <c r="L106" s="148">
        <f t="shared" si="87"/>
        <v>309593.38756468036</v>
      </c>
      <c r="M106" s="148">
        <f t="shared" si="87"/>
        <v>383552.63165257196</v>
      </c>
      <c r="N106" s="148">
        <f t="shared" si="87"/>
        <v>455627.45724633464</v>
      </c>
      <c r="O106" s="148">
        <f t="shared" si="87"/>
        <v>523754.22886301263</v>
      </c>
      <c r="P106" s="148">
        <f t="shared" si="87"/>
        <v>586034.95196062024</v>
      </c>
      <c r="Q106" s="148">
        <f t="shared" si="87"/>
        <v>643061.48798637441</v>
      </c>
      <c r="R106" s="148">
        <f t="shared" si="87"/>
        <v>695322.68645148596</v>
      </c>
      <c r="S106" s="148">
        <f t="shared" si="87"/>
        <v>742230.98462731729</v>
      </c>
      <c r="T106" s="148">
        <f t="shared" si="87"/>
        <v>784296.56112896232</v>
      </c>
      <c r="U106" s="148">
        <f t="shared" si="87"/>
        <v>821943.7961539363</v>
      </c>
      <c r="V106" s="148">
        <f t="shared" si="87"/>
        <v>855525.1719805639</v>
      </c>
      <c r="W106" s="148">
        <f t="shared" si="87"/>
        <v>885332.71142125572</v>
      </c>
      <c r="X106" s="148">
        <f t="shared" si="87"/>
        <v>910855.92432632821</v>
      </c>
      <c r="Y106" s="148">
        <f t="shared" si="87"/>
        <v>932441.61385760014</v>
      </c>
      <c r="Z106" s="148">
        <f t="shared" si="87"/>
        <v>944459.22512256133</v>
      </c>
    </row>
    <row r="107" spans="2:26" s="76" customFormat="1" ht="14.25">
      <c r="B107" s="76" t="s">
        <v>410</v>
      </c>
      <c r="E107" s="338">
        <f>IFERROR((E106-Inputs!N45)/E43,"")</f>
        <v>7.0558006275865212E-2</v>
      </c>
      <c r="F107" s="338">
        <f>IFERROR((F106-E106)/F43,"")</f>
        <v>6.643125616057019E-2</v>
      </c>
      <c r="G107" s="339">
        <f>IFERROR((G106-F106)/G43,"")</f>
        <v>0.10518391837868257</v>
      </c>
      <c r="H107" s="279">
        <v>0.22700000000000001</v>
      </c>
      <c r="I107" s="279">
        <f t="shared" ref="I107:Y107" si="88">+H107-($H$107-$Z$107)/($Z$28-$G$85)</f>
        <v>0.22136842105263158</v>
      </c>
      <c r="J107" s="279">
        <f t="shared" si="88"/>
        <v>0.21573684210526314</v>
      </c>
      <c r="K107" s="279">
        <f t="shared" si="88"/>
        <v>0.21010526315789471</v>
      </c>
      <c r="L107" s="279">
        <f t="shared" si="88"/>
        <v>0.20447368421052628</v>
      </c>
      <c r="M107" s="279">
        <f t="shared" si="88"/>
        <v>0.19884210526315785</v>
      </c>
      <c r="N107" s="279">
        <f t="shared" si="88"/>
        <v>0.19321052631578942</v>
      </c>
      <c r="O107" s="279">
        <f t="shared" si="88"/>
        <v>0.18757894736842098</v>
      </c>
      <c r="P107" s="279">
        <f t="shared" si="88"/>
        <v>0.18194736842105255</v>
      </c>
      <c r="Q107" s="279">
        <f t="shared" si="88"/>
        <v>0.17631578947368412</v>
      </c>
      <c r="R107" s="279">
        <f t="shared" si="88"/>
        <v>0.17068421052631569</v>
      </c>
      <c r="S107" s="279">
        <f t="shared" si="88"/>
        <v>0.16505263157894726</v>
      </c>
      <c r="T107" s="279">
        <f t="shared" si="88"/>
        <v>0.15942105263157882</v>
      </c>
      <c r="U107" s="279">
        <f t="shared" si="88"/>
        <v>0.15378947368421039</v>
      </c>
      <c r="V107" s="279">
        <f t="shared" si="88"/>
        <v>0.14815789473684196</v>
      </c>
      <c r="W107" s="279">
        <f t="shared" si="88"/>
        <v>0.14252631578947353</v>
      </c>
      <c r="X107" s="279">
        <f t="shared" si="88"/>
        <v>0.1368947368421051</v>
      </c>
      <c r="Y107" s="279">
        <f t="shared" si="88"/>
        <v>0.13126315789473667</v>
      </c>
      <c r="Z107" s="279">
        <v>0.12</v>
      </c>
    </row>
    <row r="108" spans="2:26" s="76" customFormat="1" ht="3.75" customHeight="1">
      <c r="E108" s="340"/>
      <c r="F108" s="340"/>
      <c r="G108" s="341"/>
      <c r="H108" s="304"/>
      <c r="I108" s="304"/>
      <c r="J108" s="304"/>
      <c r="K108" s="304"/>
      <c r="L108" s="304"/>
      <c r="M108" s="304"/>
      <c r="N108" s="304"/>
      <c r="O108" s="304"/>
      <c r="P108" s="304"/>
      <c r="Q108" s="304"/>
      <c r="R108" s="304"/>
      <c r="S108" s="304"/>
      <c r="T108" s="304"/>
      <c r="U108" s="304"/>
      <c r="V108" s="304"/>
      <c r="W108" s="304"/>
      <c r="X108" s="304"/>
      <c r="Y108" s="304"/>
      <c r="Z108" s="304"/>
    </row>
    <row r="109" spans="2:26" ht="13.5" customHeight="1">
      <c r="B109" s="129" t="s">
        <v>411</v>
      </c>
      <c r="E109" s="264"/>
      <c r="F109" s="264"/>
      <c r="G109" s="263"/>
      <c r="H109" s="148"/>
      <c r="I109" s="148"/>
      <c r="J109" s="148"/>
      <c r="K109" s="148"/>
      <c r="L109" s="148"/>
      <c r="M109" s="148"/>
      <c r="N109" s="148"/>
      <c r="O109" s="148"/>
      <c r="P109" s="148"/>
      <c r="Q109" s="148"/>
      <c r="R109" s="148"/>
      <c r="S109" s="148"/>
      <c r="T109" s="148"/>
      <c r="U109" s="148"/>
      <c r="V109" s="148"/>
      <c r="W109" s="148"/>
      <c r="X109" s="148"/>
      <c r="Y109" s="148"/>
      <c r="Z109" s="148"/>
    </row>
    <row r="110" spans="2:26" ht="5.25" customHeight="1">
      <c r="E110" s="264"/>
      <c r="F110" s="264"/>
      <c r="G110" s="263"/>
      <c r="H110" s="148"/>
      <c r="I110" s="148"/>
      <c r="J110" s="148"/>
      <c r="K110" s="148"/>
      <c r="L110" s="148"/>
      <c r="M110" s="148"/>
      <c r="N110" s="148"/>
      <c r="O110" s="148"/>
      <c r="P110" s="148"/>
      <c r="Q110" s="148"/>
      <c r="R110" s="148"/>
      <c r="S110" s="148"/>
      <c r="T110" s="148"/>
      <c r="U110" s="148"/>
      <c r="V110" s="148"/>
      <c r="W110" s="148"/>
      <c r="X110" s="148"/>
      <c r="Y110" s="148"/>
      <c r="Z110" s="148"/>
    </row>
    <row r="111" spans="2:26">
      <c r="B111" s="105" t="s">
        <v>275</v>
      </c>
      <c r="E111" s="130">
        <f>+_xlfn.XLOOKUP($B111,Inputs!$B:$B,Inputs!O:O)</f>
        <v>3055</v>
      </c>
      <c r="F111" s="130">
        <f>+_xlfn.XLOOKUP($B111,Inputs!$B:$B,Inputs!P:P)</f>
        <v>5599</v>
      </c>
      <c r="G111" s="246">
        <f>+_xlfn.XLOOKUP($B111,Inputs!$B:$B,Inputs!Q:Q)</f>
        <v>5230</v>
      </c>
      <c r="H111" s="148">
        <f t="shared" ref="H111:Z111" si="89">+IFERROR(H112*H33/365,"")</f>
        <v>8125.9397260273981</v>
      </c>
      <c r="I111" s="148">
        <f t="shared" si="89"/>
        <v>9389.9747945205472</v>
      </c>
      <c r="J111" s="148">
        <f t="shared" si="89"/>
        <v>14084.962191780825</v>
      </c>
      <c r="K111" s="148">
        <f t="shared" si="89"/>
        <v>16251.879452054794</v>
      </c>
      <c r="L111" s="148">
        <f t="shared" si="89"/>
        <v>24377.819178082191</v>
      </c>
      <c r="M111" s="148">
        <f t="shared" si="89"/>
        <v>34128.946849315071</v>
      </c>
      <c r="N111" s="148">
        <f t="shared" si="89"/>
        <v>47780.525589041099</v>
      </c>
      <c r="O111" s="148">
        <f t="shared" si="89"/>
        <v>66892.735824657531</v>
      </c>
      <c r="P111" s="148">
        <f t="shared" si="89"/>
        <v>78264.500914849297</v>
      </c>
      <c r="Q111" s="148">
        <f t="shared" si="89"/>
        <v>101743.85118930411</v>
      </c>
      <c r="R111" s="148">
        <f t="shared" si="89"/>
        <v>132267.00654609533</v>
      </c>
      <c r="S111" s="148">
        <f t="shared" si="89"/>
        <v>165333.75818261917</v>
      </c>
      <c r="T111" s="148">
        <f t="shared" si="89"/>
        <v>137778.13181884933</v>
      </c>
      <c r="U111" s="148">
        <f t="shared" si="89"/>
        <v>172222.66477356164</v>
      </c>
      <c r="V111" s="148">
        <f t="shared" si="89"/>
        <v>215278.33096695202</v>
      </c>
      <c r="W111" s="148">
        <f t="shared" si="89"/>
        <v>269097.91370869003</v>
      </c>
      <c r="X111" s="148">
        <f t="shared" si="89"/>
        <v>290625.74680538522</v>
      </c>
      <c r="Y111" s="148">
        <f t="shared" si="89"/>
        <v>348750.89616646233</v>
      </c>
      <c r="Z111" s="148">
        <f t="shared" si="89"/>
        <v>418501.0753997548</v>
      </c>
    </row>
    <row r="112" spans="2:26">
      <c r="B112" s="253" t="s">
        <v>412</v>
      </c>
      <c r="E112" s="283">
        <f>IFERROR(E111/E$33*365,"")</f>
        <v>378.76188858695656</v>
      </c>
      <c r="F112" s="283">
        <f>IFERROR(F111/F$33*365,"")</f>
        <v>252.0516773556981</v>
      </c>
      <c r="G112" s="284">
        <f>IFERROR(G111/G$33*366,"")</f>
        <v>92.934893431082187</v>
      </c>
      <c r="H112" s="282">
        <v>90</v>
      </c>
      <c r="I112" s="282">
        <v>65</v>
      </c>
      <c r="J112" s="282">
        <v>65</v>
      </c>
      <c r="K112" s="282">
        <v>50</v>
      </c>
      <c r="L112" s="282">
        <v>50</v>
      </c>
      <c r="M112" s="282">
        <v>50</v>
      </c>
      <c r="N112" s="282">
        <v>50</v>
      </c>
      <c r="O112" s="282">
        <v>50</v>
      </c>
      <c r="P112" s="282">
        <v>45</v>
      </c>
      <c r="Q112" s="282">
        <v>45</v>
      </c>
      <c r="R112" s="282">
        <v>45</v>
      </c>
      <c r="S112" s="282">
        <v>45</v>
      </c>
      <c r="T112" s="282">
        <v>30</v>
      </c>
      <c r="U112" s="282">
        <v>30</v>
      </c>
      <c r="V112" s="282">
        <v>30</v>
      </c>
      <c r="W112" s="282">
        <v>30</v>
      </c>
      <c r="X112" s="282">
        <v>27</v>
      </c>
      <c r="Y112" s="282">
        <v>27</v>
      </c>
      <c r="Z112" s="282">
        <v>27</v>
      </c>
    </row>
    <row r="113" spans="1:26" ht="3.75" customHeight="1">
      <c r="E113" s="149"/>
      <c r="F113" s="149"/>
      <c r="G113" s="150"/>
      <c r="H113" s="148"/>
      <c r="I113" s="148"/>
      <c r="J113" s="148"/>
      <c r="K113" s="148"/>
      <c r="L113" s="148"/>
      <c r="O113" s="148"/>
      <c r="P113" s="148"/>
      <c r="Q113" s="148"/>
      <c r="R113" s="148"/>
      <c r="S113" s="148"/>
      <c r="T113" s="148"/>
      <c r="U113" s="148"/>
      <c r="V113" s="148"/>
      <c r="W113" s="148"/>
      <c r="X113" s="148"/>
      <c r="Y113" s="148"/>
      <c r="Z113" s="148"/>
    </row>
    <row r="114" spans="1:26">
      <c r="B114" s="105" t="s">
        <v>413</v>
      </c>
      <c r="E114" s="130">
        <f>+_xlfn.XLOOKUP($B114,Inputs!$B:$B,Inputs!O:O)</f>
        <v>16514</v>
      </c>
      <c r="F114" s="130">
        <f>+_xlfn.XLOOKUP($B114,Inputs!$B:$B,Inputs!P:P)</f>
        <v>30855</v>
      </c>
      <c r="G114" s="246">
        <f>+_xlfn.XLOOKUP($B114,Inputs!$B:$B,Inputs!Q:Q)</f>
        <v>27489</v>
      </c>
      <c r="H114" s="148">
        <f t="shared" ref="H114:Z114" si="90">IFERROR(AVERAGE(F114:G114)*(1+H31),"")</f>
        <v>46675.200000000004</v>
      </c>
      <c r="I114" s="148">
        <f t="shared" si="90"/>
        <v>59331.360000000015</v>
      </c>
      <c r="J114" s="148">
        <f t="shared" si="90"/>
        <v>79504.920000000013</v>
      </c>
      <c r="K114" s="148">
        <f t="shared" si="90"/>
        <v>104127.21000000002</v>
      </c>
      <c r="L114" s="148">
        <f t="shared" si="90"/>
        <v>137724.09750000003</v>
      </c>
      <c r="M114" s="148">
        <f t="shared" si="90"/>
        <v>169295.91525000002</v>
      </c>
      <c r="N114" s="148">
        <f t="shared" si="90"/>
        <v>214914.00892500003</v>
      </c>
      <c r="O114" s="148">
        <f t="shared" si="90"/>
        <v>268946.94692250004</v>
      </c>
      <c r="P114" s="148">
        <f t="shared" si="90"/>
        <v>314509.62130087503</v>
      </c>
      <c r="Q114" s="148">
        <f t="shared" si="90"/>
        <v>379246.76934519387</v>
      </c>
      <c r="R114" s="148">
        <f t="shared" si="90"/>
        <v>450941.65391994477</v>
      </c>
      <c r="S114" s="148">
        <f t="shared" si="90"/>
        <v>518867.76454071165</v>
      </c>
      <c r="T114" s="148">
        <f t="shared" si="90"/>
        <v>606130.88653791021</v>
      </c>
      <c r="U114" s="148">
        <f t="shared" si="90"/>
        <v>703124.15692413866</v>
      </c>
      <c r="V114" s="148">
        <f t="shared" si="90"/>
        <v>818284.40216378053</v>
      </c>
      <c r="W114" s="148">
        <f t="shared" si="90"/>
        <v>950880.34942994942</v>
      </c>
      <c r="X114" s="148">
        <f t="shared" si="90"/>
        <v>1061498.8509562379</v>
      </c>
      <c r="Y114" s="148">
        <f t="shared" si="90"/>
        <v>1207427.5202317124</v>
      </c>
      <c r="Z114" s="148">
        <f t="shared" si="90"/>
        <v>1361355.8227127702</v>
      </c>
    </row>
    <row r="115" spans="1:26" s="301" customFormat="1">
      <c r="B115" s="254" t="s">
        <v>404</v>
      </c>
      <c r="E115" s="280">
        <f t="shared" ref="E115:P115" si="91">IFERROR(E114/E$30,"")</f>
        <v>1.4836043482166921</v>
      </c>
      <c r="F115" s="280">
        <f t="shared" si="91"/>
        <v>1.3998276018510116</v>
      </c>
      <c r="G115" s="281">
        <f t="shared" si="91"/>
        <v>0.63819562138694774</v>
      </c>
      <c r="H115" s="280">
        <f>IFERROR(H114/H$30,"")</f>
        <v>0.67726882269635269</v>
      </c>
      <c r="I115" s="280">
        <f t="shared" si="91"/>
        <v>0.53807054303159763</v>
      </c>
      <c r="J115" s="280">
        <f t="shared" si="91"/>
        <v>0.48068177860840905</v>
      </c>
      <c r="K115" s="280">
        <f t="shared" si="91"/>
        <v>0.41969773698140372</v>
      </c>
      <c r="L115" s="280">
        <f t="shared" si="91"/>
        <v>0.3700761280268382</v>
      </c>
      <c r="M115" s="280">
        <f t="shared" si="91"/>
        <v>0.32493730967388701</v>
      </c>
      <c r="N115" s="280">
        <f t="shared" si="91"/>
        <v>0.29463870056081432</v>
      </c>
      <c r="O115" s="280">
        <f t="shared" si="91"/>
        <v>0.26336838944965252</v>
      </c>
      <c r="P115" s="280">
        <f t="shared" si="91"/>
        <v>0.23691230206797423</v>
      </c>
      <c r="Q115" s="280">
        <f t="shared" ref="Q115:Z115" si="92">IFERROR(Q114/Q$30,"")</f>
        <v>0.21975168543769968</v>
      </c>
      <c r="R115" s="280">
        <f t="shared" si="92"/>
        <v>0.20099595889883989</v>
      </c>
      <c r="S115" s="280">
        <f t="shared" si="92"/>
        <v>0.18501785846391983</v>
      </c>
      <c r="T115" s="280">
        <f t="shared" si="92"/>
        <v>0.17290731279149585</v>
      </c>
      <c r="U115" s="280">
        <f t="shared" si="92"/>
        <v>0.16046079978131586</v>
      </c>
      <c r="V115" s="280">
        <f t="shared" si="92"/>
        <v>0.14939332500725627</v>
      </c>
      <c r="W115" s="280">
        <f t="shared" si="92"/>
        <v>0.13888098241615446</v>
      </c>
      <c r="X115" s="280">
        <f t="shared" si="92"/>
        <v>0.12919782121097972</v>
      </c>
      <c r="Y115" s="280">
        <f t="shared" si="92"/>
        <v>0.1224659866122209</v>
      </c>
      <c r="Z115" s="280">
        <f t="shared" si="92"/>
        <v>0.11506541881068534</v>
      </c>
    </row>
    <row r="116" spans="1:26" s="221" customFormat="1" ht="5.25" customHeight="1">
      <c r="B116" s="247"/>
      <c r="E116" s="297"/>
      <c r="F116" s="297"/>
      <c r="G116" s="298"/>
      <c r="H116" s="299"/>
      <c r="I116" s="299"/>
      <c r="J116" s="299"/>
      <c r="K116" s="299"/>
      <c r="L116" s="299"/>
      <c r="M116" s="299"/>
      <c r="N116" s="299"/>
      <c r="O116" s="299"/>
      <c r="P116" s="299"/>
      <c r="Q116" s="299"/>
      <c r="R116" s="299"/>
      <c r="S116" s="299"/>
      <c r="T116" s="299"/>
      <c r="U116" s="299"/>
      <c r="V116" s="299"/>
      <c r="W116" s="299"/>
      <c r="X116" s="299"/>
      <c r="Y116" s="299"/>
      <c r="Z116" s="299"/>
    </row>
    <row r="117" spans="1:26">
      <c r="B117" s="105" t="s">
        <v>414</v>
      </c>
      <c r="E117" s="267">
        <f>+_xlfn.XLOOKUP($B117,Inputs!$B:$B,Inputs!O:O)</f>
        <v>0</v>
      </c>
      <c r="F117" s="267">
        <f>+_xlfn.XLOOKUP($B117,Inputs!$B:$B,Inputs!P:P)</f>
        <v>0</v>
      </c>
      <c r="G117" s="268">
        <f>+_xlfn.XLOOKUP($B117,Inputs!$B:$B,Inputs!Q:Q)</f>
        <v>0</v>
      </c>
      <c r="H117" s="148">
        <f t="shared" ref="H117:Z117" si="93">IFERROR(G117+H158-H160,"")</f>
        <v>245379.05900000001</v>
      </c>
      <c r="I117" s="148">
        <f t="shared" si="93"/>
        <v>245379.05900000001</v>
      </c>
      <c r="J117" s="148">
        <f t="shared" si="93"/>
        <v>536900.27432778035</v>
      </c>
      <c r="K117" s="148">
        <f t="shared" si="93"/>
        <v>616651.98460003058</v>
      </c>
      <c r="L117" s="148">
        <f t="shared" si="93"/>
        <v>1005215.7008910868</v>
      </c>
      <c r="M117" s="148">
        <f t="shared" si="93"/>
        <v>1188506.0498724747</v>
      </c>
      <c r="N117" s="148">
        <f t="shared" si="93"/>
        <v>1644703.5839407623</v>
      </c>
      <c r="O117" s="148">
        <f t="shared" si="93"/>
        <v>1879279.2033541393</v>
      </c>
      <c r="P117" s="148">
        <f t="shared" si="93"/>
        <v>2407515.6338105127</v>
      </c>
      <c r="Q117" s="148">
        <f t="shared" si="93"/>
        <v>2615583.9254068602</v>
      </c>
      <c r="R117" s="148">
        <f t="shared" si="93"/>
        <v>3166474.3097698055</v>
      </c>
      <c r="S117" s="148">
        <f t="shared" si="93"/>
        <v>3174077.1211506096</v>
      </c>
      <c r="T117" s="148">
        <f t="shared" si="93"/>
        <v>3662633.0253855139</v>
      </c>
      <c r="U117" s="148">
        <f t="shared" si="93"/>
        <v>3662633.0253855139</v>
      </c>
      <c r="V117" s="148">
        <f t="shared" si="93"/>
        <v>3796845.1904413225</v>
      </c>
      <c r="W117" s="148">
        <f t="shared" si="93"/>
        <v>3796845.1904413225</v>
      </c>
      <c r="X117" s="148">
        <f t="shared" si="93"/>
        <v>3796845.1904413225</v>
      </c>
      <c r="Y117" s="148">
        <f t="shared" si="93"/>
        <v>3796845.1904413225</v>
      </c>
      <c r="Z117" s="148">
        <f t="shared" si="93"/>
        <v>3796845.1904413225</v>
      </c>
    </row>
    <row r="118" spans="1:26" ht="3.75" customHeight="1">
      <c r="B118" s="132"/>
      <c r="E118" s="151"/>
      <c r="F118" s="151"/>
      <c r="G118" s="300"/>
      <c r="H118" s="269"/>
      <c r="I118" s="269"/>
      <c r="J118" s="269"/>
      <c r="K118" s="269"/>
      <c r="L118" s="269"/>
      <c r="M118" s="269"/>
      <c r="N118" s="269"/>
      <c r="O118" s="269"/>
      <c r="P118" s="269"/>
      <c r="Q118" s="269"/>
      <c r="R118" s="269"/>
      <c r="S118" s="269"/>
      <c r="T118" s="269"/>
      <c r="U118" s="269"/>
      <c r="V118" s="269"/>
      <c r="W118" s="269"/>
      <c r="X118" s="269"/>
      <c r="Y118" s="269"/>
      <c r="Z118" s="269"/>
    </row>
    <row r="119" spans="1:26">
      <c r="B119" s="105" t="s">
        <v>415</v>
      </c>
      <c r="E119" s="267">
        <f>+_xlfn.XLOOKUP($B119,Inputs!$B:$B,Inputs!O:O)</f>
        <v>4050</v>
      </c>
      <c r="F119" s="267">
        <f>+_xlfn.XLOOKUP($B119,Inputs!$B:$B,Inputs!P:P)</f>
        <v>8105</v>
      </c>
      <c r="G119" s="268">
        <f>+_xlfn.XLOOKUP($B119,Inputs!$B:$B,Inputs!Q:Q)</f>
        <v>17725</v>
      </c>
      <c r="H119" s="148">
        <f t="shared" ref="H119:Z119" si="94">+IFERROR(H120*H30,"")</f>
        <v>26258.828606852712</v>
      </c>
      <c r="I119" s="148">
        <f t="shared" si="94"/>
        <v>42645.346983691677</v>
      </c>
      <c r="J119" s="148">
        <f t="shared" si="94"/>
        <v>65017.736377328001</v>
      </c>
      <c r="K119" s="148">
        <f t="shared" si="94"/>
        <v>96003.472754656017</v>
      </c>
      <c r="L119" s="148">
        <f t="shared" si="94"/>
        <v>144741.05401697714</v>
      </c>
      <c r="M119" s="148">
        <f t="shared" si="94"/>
        <v>203016.87933237627</v>
      </c>
      <c r="N119" s="148">
        <f t="shared" si="94"/>
        <v>283388.76894576353</v>
      </c>
      <c r="O119" s="148">
        <f t="shared" si="94"/>
        <v>397275.60407937056</v>
      </c>
      <c r="P119" s="148">
        <f t="shared" si="94"/>
        <v>516504.28444112203</v>
      </c>
      <c r="Q119" s="148">
        <f t="shared" si="94"/>
        <v>671116.3893310905</v>
      </c>
      <c r="R119" s="148">
        <f t="shared" si="94"/>
        <v>872719.3496660972</v>
      </c>
      <c r="S119" s="148">
        <f t="shared" si="94"/>
        <v>1090859.5402091714</v>
      </c>
      <c r="T119" s="148">
        <f t="shared" si="94"/>
        <v>1363467.8583145062</v>
      </c>
      <c r="U119" s="148">
        <f t="shared" si="94"/>
        <v>1704444.2780955199</v>
      </c>
      <c r="V119" s="148">
        <f t="shared" si="94"/>
        <v>2130519.6385689513</v>
      </c>
      <c r="W119" s="148">
        <f t="shared" si="94"/>
        <v>2663122.2978353198</v>
      </c>
      <c r="X119" s="148">
        <f t="shared" si="94"/>
        <v>3195786.412228303</v>
      </c>
      <c r="Y119" s="148">
        <f t="shared" si="94"/>
        <v>3834925.0509936451</v>
      </c>
      <c r="Z119" s="148">
        <f t="shared" si="94"/>
        <v>4601905.9418201875</v>
      </c>
    </row>
    <row r="120" spans="1:26">
      <c r="B120" s="132" t="s">
        <v>416</v>
      </c>
      <c r="E120" s="265">
        <f>IFERROR(E119/E$30,"")</f>
        <v>0.3638487108076543</v>
      </c>
      <c r="F120" s="265">
        <f>IFERROR(F119/F$30,"")</f>
        <v>0.36770710461845568</v>
      </c>
      <c r="G120" s="266">
        <f>IFERROR(G119/G$30,"")</f>
        <v>0.41151069115222993</v>
      </c>
      <c r="H120" s="122">
        <f>+IFERROR(AVERAGE(E120:G120),"")</f>
        <v>0.38102216885944662</v>
      </c>
      <c r="I120" s="122">
        <f t="shared" ref="I120:P120" si="95">+IFERROR(AVERAGE(F120:H120),"")</f>
        <v>0.38674665487671073</v>
      </c>
      <c r="J120" s="122">
        <f t="shared" si="95"/>
        <v>0.39309317162946239</v>
      </c>
      <c r="K120" s="122">
        <f t="shared" si="95"/>
        <v>0.38695399845520656</v>
      </c>
      <c r="L120" s="122">
        <f t="shared" si="95"/>
        <v>0.38893127498712654</v>
      </c>
      <c r="M120" s="122">
        <f t="shared" si="95"/>
        <v>0.3896594816905985</v>
      </c>
      <c r="N120" s="122">
        <f t="shared" si="95"/>
        <v>0.3885149183776439</v>
      </c>
      <c r="O120" s="122">
        <f t="shared" si="95"/>
        <v>0.38903522501845633</v>
      </c>
      <c r="P120" s="122">
        <f t="shared" si="95"/>
        <v>0.38906987502889961</v>
      </c>
      <c r="Q120" s="122">
        <f t="shared" ref="Q120:Z120" si="96">+IFERROR(AVERAGE(N120:P120),"")</f>
        <v>0.38887333947499997</v>
      </c>
      <c r="R120" s="122">
        <f t="shared" si="96"/>
        <v>0.38899281317411866</v>
      </c>
      <c r="S120" s="122">
        <f t="shared" si="96"/>
        <v>0.38897867589267277</v>
      </c>
      <c r="T120" s="122">
        <f t="shared" si="96"/>
        <v>0.38894827618059713</v>
      </c>
      <c r="U120" s="122">
        <f t="shared" si="96"/>
        <v>0.38897325508246289</v>
      </c>
      <c r="V120" s="122">
        <f t="shared" si="96"/>
        <v>0.38896673571857759</v>
      </c>
      <c r="W120" s="122">
        <f t="shared" si="96"/>
        <v>0.38896275566054589</v>
      </c>
      <c r="X120" s="122">
        <f t="shared" si="96"/>
        <v>0.38896758215386212</v>
      </c>
      <c r="Y120" s="122">
        <f t="shared" si="96"/>
        <v>0.38896569117766183</v>
      </c>
      <c r="Z120" s="122">
        <f t="shared" si="96"/>
        <v>0.38896534299735658</v>
      </c>
    </row>
    <row r="121" spans="1:26" ht="3.75" customHeight="1">
      <c r="G121" s="138"/>
    </row>
    <row r="122" spans="1:26" ht="15.75">
      <c r="A122" s="105" t="s">
        <v>349</v>
      </c>
      <c r="B122" s="43" t="s">
        <v>234</v>
      </c>
      <c r="C122" s="43"/>
      <c r="D122" s="43"/>
      <c r="E122" s="116">
        <f t="shared" ref="E122:Z122" si="97">E28</f>
        <v>2022</v>
      </c>
      <c r="F122" s="116">
        <f t="shared" si="97"/>
        <v>2023</v>
      </c>
      <c r="G122" s="143">
        <f t="shared" si="97"/>
        <v>2024</v>
      </c>
      <c r="H122" s="88">
        <f t="shared" si="97"/>
        <v>2025</v>
      </c>
      <c r="I122" s="88">
        <f t="shared" si="97"/>
        <v>2026</v>
      </c>
      <c r="J122" s="88">
        <f t="shared" si="97"/>
        <v>2027</v>
      </c>
      <c r="K122" s="88">
        <f t="shared" si="97"/>
        <v>2028</v>
      </c>
      <c r="L122" s="88">
        <f t="shared" si="97"/>
        <v>2029</v>
      </c>
      <c r="M122" s="88">
        <f t="shared" si="97"/>
        <v>2030</v>
      </c>
      <c r="N122" s="88">
        <f t="shared" si="97"/>
        <v>2031</v>
      </c>
      <c r="O122" s="88">
        <f t="shared" si="97"/>
        <v>2032</v>
      </c>
      <c r="P122" s="88">
        <f t="shared" si="97"/>
        <v>2033</v>
      </c>
      <c r="Q122" s="88">
        <f t="shared" si="97"/>
        <v>2034</v>
      </c>
      <c r="R122" s="88">
        <f t="shared" si="97"/>
        <v>2035</v>
      </c>
      <c r="S122" s="88">
        <f t="shared" si="97"/>
        <v>2036</v>
      </c>
      <c r="T122" s="88">
        <f t="shared" si="97"/>
        <v>2037</v>
      </c>
      <c r="U122" s="88">
        <f t="shared" si="97"/>
        <v>2038</v>
      </c>
      <c r="V122" s="88">
        <f t="shared" si="97"/>
        <v>2039</v>
      </c>
      <c r="W122" s="88">
        <f t="shared" si="97"/>
        <v>2040</v>
      </c>
      <c r="X122" s="88">
        <f t="shared" si="97"/>
        <v>2041</v>
      </c>
      <c r="Y122" s="88">
        <f t="shared" si="97"/>
        <v>2042</v>
      </c>
      <c r="Z122" s="88">
        <f t="shared" si="97"/>
        <v>2043</v>
      </c>
    </row>
    <row r="123" spans="1:26" ht="3.95" customHeight="1">
      <c r="B123" s="44"/>
      <c r="C123" s="44"/>
      <c r="D123" s="44"/>
      <c r="E123" s="152"/>
      <c r="F123" s="152"/>
      <c r="G123" s="153"/>
      <c r="H123" s="44"/>
      <c r="I123" s="44"/>
      <c r="J123" s="44"/>
      <c r="K123" s="44"/>
      <c r="L123" s="44"/>
      <c r="M123" s="44"/>
      <c r="N123" s="44"/>
      <c r="O123" s="44"/>
      <c r="P123" s="44"/>
      <c r="Q123" s="44"/>
      <c r="R123" s="44"/>
      <c r="S123" s="44"/>
      <c r="T123" s="44"/>
      <c r="U123" s="44"/>
      <c r="V123" s="44"/>
      <c r="W123" s="44"/>
      <c r="X123" s="44"/>
      <c r="Y123" s="44"/>
      <c r="Z123" s="44"/>
    </row>
    <row r="124" spans="1:26">
      <c r="B124" s="105" t="s">
        <v>384</v>
      </c>
      <c r="E124" s="146">
        <f>+E51</f>
        <v>5604</v>
      </c>
      <c r="F124" s="146">
        <f t="shared" ref="F124:P124" si="98">+F51</f>
        <v>10375</v>
      </c>
      <c r="G124" s="147">
        <f t="shared" si="98"/>
        <v>18654</v>
      </c>
      <c r="H124" s="148">
        <f t="shared" si="98"/>
        <v>21834.814286504286</v>
      </c>
      <c r="I124" s="148">
        <f>+I51</f>
        <v>31475.283223524959</v>
      </c>
      <c r="J124" s="148">
        <f t="shared" si="98"/>
        <v>47744.802863469769</v>
      </c>
      <c r="K124" s="148">
        <f t="shared" si="98"/>
        <v>66750.502557405765</v>
      </c>
      <c r="L124" s="148">
        <f t="shared" si="98"/>
        <v>94779.189456924985</v>
      </c>
      <c r="M124" s="148">
        <f t="shared" si="98"/>
        <v>128858.63570417673</v>
      </c>
      <c r="N124" s="148">
        <f t="shared" si="98"/>
        <v>172020.46985853932</v>
      </c>
      <c r="O124" s="148">
        <f t="shared" si="98"/>
        <v>223000.07946129324</v>
      </c>
      <c r="P124" s="148">
        <f t="shared" si="98"/>
        <v>289069.15763685445</v>
      </c>
      <c r="Q124" s="148">
        <f t="shared" ref="Q124:Z124" si="99">+Q51</f>
        <v>360460.5360560948</v>
      </c>
      <c r="R124" s="148">
        <f t="shared" si="99"/>
        <v>450444.74257988989</v>
      </c>
      <c r="S124" s="148">
        <f t="shared" si="99"/>
        <v>528175.42343436345</v>
      </c>
      <c r="T124" s="148">
        <f t="shared" si="99"/>
        <v>623016.87240338686</v>
      </c>
      <c r="U124" s="148">
        <f t="shared" si="99"/>
        <v>711497.90067306883</v>
      </c>
      <c r="V124" s="148">
        <f t="shared" si="99"/>
        <v>820258.53128121444</v>
      </c>
      <c r="W124" s="148">
        <f t="shared" si="99"/>
        <v>954780.63801130687</v>
      </c>
      <c r="X124" s="148">
        <f t="shared" si="99"/>
        <v>1121731.9242011947</v>
      </c>
      <c r="Y124" s="148">
        <f t="shared" si="99"/>
        <v>1321016.1318070411</v>
      </c>
      <c r="Z124" s="148">
        <f t="shared" si="99"/>
        <v>1559352.9400793139</v>
      </c>
    </row>
    <row r="125" spans="1:26" ht="3.95" customHeight="1">
      <c r="G125" s="127"/>
    </row>
    <row r="126" spans="1:26" ht="13.5" customHeight="1">
      <c r="B126" s="105" t="s">
        <v>417</v>
      </c>
      <c r="E126" s="267">
        <f>+_xlfn.XLOOKUP($B126,Inputs!$B:$B,Inputs!O:O)</f>
        <v>31456</v>
      </c>
      <c r="F126" s="267">
        <f>+_xlfn.XLOOKUP($B126,Inputs!$B:$B,Inputs!P:P)</f>
        <v>69743</v>
      </c>
      <c r="G126" s="268">
        <f>+_xlfn.XLOOKUP($B126,Inputs!$B:$B,Inputs!Q:Q)</f>
        <v>106878</v>
      </c>
      <c r="H126" s="148">
        <f>+G126*(1+H127)</f>
        <v>111153.12000000001</v>
      </c>
      <c r="I126" s="148">
        <f t="shared" ref="I126:Z126" si="100">+H126*(1+I127)</f>
        <v>115599.24480000001</v>
      </c>
      <c r="J126" s="148">
        <f t="shared" si="100"/>
        <v>120223.21459200002</v>
      </c>
      <c r="K126" s="148">
        <f t="shared" si="100"/>
        <v>125032.14317568003</v>
      </c>
      <c r="L126" s="148">
        <f t="shared" si="100"/>
        <v>130033.42890270724</v>
      </c>
      <c r="M126" s="148">
        <f t="shared" si="100"/>
        <v>133934.43176978847</v>
      </c>
      <c r="N126" s="148">
        <f t="shared" si="100"/>
        <v>137952.46472288211</v>
      </c>
      <c r="O126" s="148">
        <f t="shared" si="100"/>
        <v>142091.03866456856</v>
      </c>
      <c r="P126" s="148">
        <f t="shared" si="100"/>
        <v>146353.76982450564</v>
      </c>
      <c r="Q126" s="148">
        <f t="shared" si="100"/>
        <v>150744.3829192408</v>
      </c>
      <c r="R126" s="148">
        <f t="shared" si="100"/>
        <v>155266.71440681804</v>
      </c>
      <c r="S126" s="148">
        <f t="shared" si="100"/>
        <v>158372.0486949544</v>
      </c>
      <c r="T126" s="148">
        <f t="shared" si="100"/>
        <v>161539.48966885349</v>
      </c>
      <c r="U126" s="148">
        <f t="shared" si="100"/>
        <v>164770.27946223057</v>
      </c>
      <c r="V126" s="148">
        <f t="shared" si="100"/>
        <v>168065.68505147519</v>
      </c>
      <c r="W126" s="148">
        <f t="shared" si="100"/>
        <v>170586.6703272473</v>
      </c>
      <c r="X126" s="148">
        <f t="shared" si="100"/>
        <v>173145.470382156</v>
      </c>
      <c r="Y126" s="148">
        <f t="shared" si="100"/>
        <v>175742.65243788832</v>
      </c>
      <c r="Z126" s="148">
        <f t="shared" si="100"/>
        <v>178378.79222445661</v>
      </c>
    </row>
    <row r="127" spans="1:26" ht="13.5" customHeight="1">
      <c r="B127" s="254" t="s">
        <v>418</v>
      </c>
      <c r="E127" s="265">
        <f>+IFERROR(E126/E39,"")</f>
        <v>0.70925120064936531</v>
      </c>
      <c r="F127" s="265">
        <f>+IFERROR(F126/F39,"")</f>
        <v>1.0108853200371057</v>
      </c>
      <c r="G127" s="266">
        <f>+IFERROR(G126/G39,"")</f>
        <v>1.0746907993966817</v>
      </c>
      <c r="H127" s="265">
        <v>0.04</v>
      </c>
      <c r="I127" s="265">
        <v>0.04</v>
      </c>
      <c r="J127" s="265">
        <v>0.04</v>
      </c>
      <c r="K127" s="265">
        <v>0.04</v>
      </c>
      <c r="L127" s="265">
        <v>0.04</v>
      </c>
      <c r="M127" s="265">
        <v>0.03</v>
      </c>
      <c r="N127" s="265">
        <v>0.03</v>
      </c>
      <c r="O127" s="265">
        <v>0.03</v>
      </c>
      <c r="P127" s="265">
        <v>0.03</v>
      </c>
      <c r="Q127" s="265">
        <v>0.03</v>
      </c>
      <c r="R127" s="265">
        <v>0.03</v>
      </c>
      <c r="S127" s="265">
        <v>0.02</v>
      </c>
      <c r="T127" s="265">
        <v>0.02</v>
      </c>
      <c r="U127" s="265">
        <v>0.02</v>
      </c>
      <c r="V127" s="265">
        <v>0.02</v>
      </c>
      <c r="W127" s="265">
        <v>1.4999999999999999E-2</v>
      </c>
      <c r="X127" s="265">
        <v>1.4999999999999999E-2</v>
      </c>
      <c r="Y127" s="265">
        <v>1.4999999999999999E-2</v>
      </c>
      <c r="Z127" s="265">
        <v>1.4999999999999999E-2</v>
      </c>
    </row>
    <row r="128" spans="1:26" ht="3.75" customHeight="1">
      <c r="B128" s="254"/>
      <c r="E128" s="265"/>
      <c r="F128" s="265"/>
      <c r="G128" s="266"/>
      <c r="H128" s="269"/>
      <c r="I128" s="269"/>
      <c r="J128" s="269"/>
      <c r="K128" s="269"/>
      <c r="L128" s="269"/>
      <c r="M128" s="269"/>
      <c r="N128" s="269"/>
      <c r="O128" s="269"/>
      <c r="P128" s="269"/>
      <c r="Q128" s="269"/>
      <c r="R128" s="269"/>
      <c r="S128" s="269"/>
      <c r="T128" s="269"/>
      <c r="U128" s="269"/>
      <c r="V128" s="269"/>
      <c r="W128" s="269"/>
      <c r="X128" s="269"/>
      <c r="Y128" s="269"/>
      <c r="Z128" s="269"/>
    </row>
    <row r="129" spans="2:26" ht="13.5" customHeight="1">
      <c r="B129" s="105" t="s">
        <v>419</v>
      </c>
      <c r="E129" s="267">
        <f>+_xlfn.XLOOKUP($B129,Inputs!$B:$B,Inputs!O:O)</f>
        <v>-3286</v>
      </c>
      <c r="F129" s="267">
        <f>+_xlfn.XLOOKUP($B129,Inputs!$B:$B,Inputs!P:P)</f>
        <v>-16665</v>
      </c>
      <c r="G129" s="268">
        <f>+_xlfn.XLOOKUP($B129,Inputs!$B:$B,Inputs!Q:Q)</f>
        <v>-15754</v>
      </c>
      <c r="H129" s="154">
        <f>IFERROR(-((H91+H94+H97-H111-H114)-(G91+G94+G97-G111-G114)),"")</f>
        <v>14078.576438356169</v>
      </c>
      <c r="I129" s="154">
        <f t="shared" ref="I129:P129" si="101">IFERROR(-((I91+I94+I97-I111-I114)-(H91+H94+H97-H111-H114)),"")</f>
        <v>-4898.1162374429186</v>
      </c>
      <c r="J129" s="154">
        <f t="shared" si="101"/>
        <v>6779.6234337899659</v>
      </c>
      <c r="K129" s="154">
        <f t="shared" si="101"/>
        <v>1075.8079817351536</v>
      </c>
      <c r="L129" s="154">
        <f t="shared" si="101"/>
        <v>-4565.6993630136712</v>
      </c>
      <c r="M129" s="154">
        <f t="shared" si="101"/>
        <v>13781.61993751899</v>
      </c>
      <c r="N129" s="154">
        <f t="shared" si="101"/>
        <v>6012.3484325241589</v>
      </c>
      <c r="O129" s="154">
        <f t="shared" si="101"/>
        <v>3173.4574440726719</v>
      </c>
      <c r="P129" s="154">
        <f t="shared" si="101"/>
        <v>-5685.036719351483</v>
      </c>
      <c r="Q129" s="154">
        <f t="shared" ref="Q129:Z129" si="102">IFERROR(-((Q91+Q94+Q97-Q111-Q114)-(P91+P94+P97-P111-P114)),"")</f>
        <v>-275.12300398573279</v>
      </c>
      <c r="R129" s="154">
        <f t="shared" si="102"/>
        <v>-6662.5193438868737</v>
      </c>
      <c r="S129" s="154">
        <f t="shared" si="102"/>
        <v>-6916.5230663577677</v>
      </c>
      <c r="T129" s="154">
        <f t="shared" si="102"/>
        <v>-80730.668485352478</v>
      </c>
      <c r="U129" s="154">
        <f t="shared" si="102"/>
        <v>-38566.177791569848</v>
      </c>
      <c r="V129" s="154">
        <f t="shared" si="102"/>
        <v>-48188.278987186728</v>
      </c>
      <c r="W129" s="154">
        <f t="shared" si="102"/>
        <v>-69050.925706048729</v>
      </c>
      <c r="X129" s="154">
        <f t="shared" si="102"/>
        <v>-110883.69937768811</v>
      </c>
      <c r="Y129" s="154">
        <f t="shared" si="102"/>
        <v>-95098.088782026898</v>
      </c>
      <c r="Z129" s="154">
        <f t="shared" si="102"/>
        <v>-129764.14786821138</v>
      </c>
    </row>
    <row r="130" spans="2:26" ht="3.75" customHeight="1">
      <c r="G130" s="127"/>
    </row>
    <row r="131" spans="2:26" ht="13.5" customHeight="1">
      <c r="B131" s="353" t="s">
        <v>420</v>
      </c>
      <c r="C131" s="353"/>
      <c r="D131" s="353"/>
      <c r="E131" s="354">
        <f>+_xlfn.XLOOKUP($B131,Inputs!$B:$B,Inputs!O:O)</f>
        <v>-29961</v>
      </c>
      <c r="F131" s="354">
        <f>+_xlfn.XLOOKUP($B131,Inputs!$B:$B,Inputs!P:P)</f>
        <v>15459.04800000001</v>
      </c>
      <c r="G131" s="355">
        <f>+_xlfn.XLOOKUP($B131,Inputs!$B:$B,Inputs!Q:Q)</f>
        <v>116127.05900000001</v>
      </c>
      <c r="H131" s="356">
        <f t="shared" ref="H131:Z131" si="103">IFERROR(AVERAGE(E131:G131)*(1+H31),"")</f>
        <v>54200.057066666675</v>
      </c>
      <c r="I131" s="356">
        <f t="shared" si="103"/>
        <v>99085.9541688889</v>
      </c>
      <c r="J131" s="356">
        <f t="shared" si="103"/>
        <v>134706.53511777779</v>
      </c>
      <c r="K131" s="356">
        <f t="shared" si="103"/>
        <v>143996.2731766667</v>
      </c>
      <c r="L131" s="356">
        <f t="shared" si="103"/>
        <v>188894.38123166669</v>
      </c>
      <c r="M131" s="356">
        <f t="shared" si="103"/>
        <v>218212.02177885186</v>
      </c>
      <c r="N131" s="356">
        <f t="shared" si="103"/>
        <v>257181.24888735311</v>
      </c>
      <c r="O131" s="356">
        <f t="shared" si="103"/>
        <v>310000.90421900677</v>
      </c>
      <c r="P131" s="356">
        <f t="shared" si="103"/>
        <v>340337.47578359174</v>
      </c>
      <c r="Q131" s="356">
        <f t="shared" si="103"/>
        <v>393258.50585231237</v>
      </c>
      <c r="R131" s="356">
        <f t="shared" si="103"/>
        <v>452225.31720379472</v>
      </c>
      <c r="S131" s="356">
        <f t="shared" si="103"/>
        <v>494092.20784987463</v>
      </c>
      <c r="T131" s="356">
        <f t="shared" si="103"/>
        <v>558156.67954415909</v>
      </c>
      <c r="U131" s="356">
        <f t="shared" si="103"/>
        <v>626864.25191576185</v>
      </c>
      <c r="V131" s="356">
        <f t="shared" si="103"/>
        <v>699630.4747124149</v>
      </c>
      <c r="W131" s="356">
        <f t="shared" si="103"/>
        <v>785271.41923847329</v>
      </c>
      <c r="X131" s="356">
        <f t="shared" si="103"/>
        <v>844706.45834666002</v>
      </c>
      <c r="Y131" s="356">
        <f t="shared" si="103"/>
        <v>931843.34091901931</v>
      </c>
      <c r="Z131" s="356">
        <f t="shared" si="103"/>
        <v>1024728.4874016611</v>
      </c>
    </row>
    <row r="132" spans="2:26" ht="5.25" customHeight="1">
      <c r="E132" s="294"/>
      <c r="F132" s="294"/>
      <c r="G132" s="268"/>
      <c r="H132" s="148"/>
      <c r="I132" s="148"/>
      <c r="J132" s="148"/>
      <c r="K132" s="148"/>
      <c r="L132" s="148"/>
      <c r="M132" s="148"/>
      <c r="N132" s="148"/>
      <c r="O132" s="148"/>
      <c r="P132" s="148"/>
      <c r="Q132" s="148"/>
      <c r="R132" s="148"/>
      <c r="S132" s="148"/>
      <c r="T132" s="148"/>
      <c r="U132" s="148"/>
      <c r="V132" s="148"/>
      <c r="W132" s="148"/>
      <c r="X132" s="148"/>
      <c r="Y132" s="148"/>
      <c r="Z132" s="148"/>
    </row>
    <row r="133" spans="2:26" ht="13.5" customHeight="1">
      <c r="B133" s="370" t="s">
        <v>281</v>
      </c>
      <c r="C133" s="129"/>
      <c r="D133" s="129"/>
      <c r="E133" s="315">
        <f>+_xlfn.XLOOKUP($B133,Inputs!$B:$B,Inputs!O:O)</f>
        <v>-44698</v>
      </c>
      <c r="F133" s="315">
        <f>+_xlfn.XLOOKUP($B133,Inputs!$B:$B,Inputs!P:P)</f>
        <v>-78811</v>
      </c>
      <c r="G133" s="316">
        <f>+_xlfn.XLOOKUP($B133,Inputs!$B:$B,Inputs!Q:Q)</f>
        <v>-105683</v>
      </c>
      <c r="H133" s="459">
        <f>IFERROR(H82+H124+H126+H129+H131,"")</f>
        <v>-80178.379328144554</v>
      </c>
      <c r="I133" s="459">
        <f t="shared" ref="I133:P133" si="104">IFERROR(I82+I124+I126+I129+I131,"")</f>
        <v>-137301.82115889149</v>
      </c>
      <c r="J133" s="459">
        <f t="shared" si="104"/>
        <v>-162136.24648225293</v>
      </c>
      <c r="K133" s="459">
        <f t="shared" si="104"/>
        <v>-212673.93738663977</v>
      </c>
      <c r="L133" s="459">
        <f t="shared" si="104"/>
        <v>-234099.39604077741</v>
      </c>
      <c r="M133" s="459">
        <f t="shared" si="104"/>
        <v>-212871.45807082357</v>
      </c>
      <c r="N133" s="459">
        <f t="shared" si="104"/>
        <v>-178296.51067431155</v>
      </c>
      <c r="O133" s="459">
        <f t="shared" si="104"/>
        <v>-95397.594162743539</v>
      </c>
      <c r="P133" s="459">
        <f t="shared" si="104"/>
        <v>2293.5682460711687</v>
      </c>
      <c r="Q133" s="459">
        <f t="shared" ref="Q133:Z133" si="105">IFERROR(Q82+Q124+Q126+Q129+Q131,"")</f>
        <v>152038.88876277942</v>
      </c>
      <c r="R133" s="459">
        <f t="shared" si="105"/>
        <v>342439.30581383727</v>
      </c>
      <c r="S133" s="459">
        <f t="shared" si="105"/>
        <v>558817.47267640638</v>
      </c>
      <c r="T133" s="459">
        <f t="shared" si="105"/>
        <v>761517.00692539499</v>
      </c>
      <c r="U133" s="459">
        <f t="shared" si="105"/>
        <v>1149938.0014407034</v>
      </c>
      <c r="V133" s="459">
        <f t="shared" si="105"/>
        <v>1579586.8202844996</v>
      </c>
      <c r="W133" s="459">
        <f t="shared" si="105"/>
        <v>2113136.0904417722</v>
      </c>
      <c r="X133" s="459">
        <f t="shared" si="105"/>
        <v>2639050.4590735896</v>
      </c>
      <c r="Y133" s="459">
        <f t="shared" si="105"/>
        <v>3339426.4804415386</v>
      </c>
      <c r="Z133" s="459">
        <f t="shared" si="105"/>
        <v>4131155.1279439316</v>
      </c>
    </row>
    <row r="134" spans="2:26" ht="3.75" customHeight="1">
      <c r="G134" s="127"/>
    </row>
    <row r="135" spans="2:26" ht="13.5" customHeight="1">
      <c r="B135" s="311" t="s">
        <v>421</v>
      </c>
      <c r="C135" s="311"/>
      <c r="D135" s="311"/>
      <c r="E135" s="312">
        <f>+_xlfn.XLOOKUP($B135,Inputs!$B:$B,Inputs!O:O)</f>
        <v>-12564</v>
      </c>
      <c r="F135" s="312">
        <f>+_xlfn.XLOOKUP($B135,Inputs!$B:$B,Inputs!P:P)</f>
        <v>-19549</v>
      </c>
      <c r="G135" s="313">
        <f>+_xlfn.XLOOKUP($B135,Inputs!$B:$B,Inputs!Q:Q)</f>
        <v>-23569</v>
      </c>
      <c r="H135" s="314">
        <f>IFERROR(H137+H140,"")</f>
        <v>-34458.400000000001</v>
      </c>
      <c r="I135" s="314">
        <f t="shared" ref="I135:Z135" si="106">IFERROR(I137+I140,"")</f>
        <v>-55133.440000000002</v>
      </c>
      <c r="J135" s="314">
        <f t="shared" si="106"/>
        <v>-74430.144</v>
      </c>
      <c r="K135" s="314">
        <f t="shared" si="106"/>
        <v>-111645.216</v>
      </c>
      <c r="L135" s="314">
        <f t="shared" si="106"/>
        <v>-148860.28800000003</v>
      </c>
      <c r="M135" s="314">
        <f t="shared" si="106"/>
        <v>-208404.40320000003</v>
      </c>
      <c r="N135" s="314">
        <f t="shared" si="106"/>
        <v>-255295.39391999997</v>
      </c>
      <c r="O135" s="314">
        <f t="shared" si="106"/>
        <v>-357413.55148799997</v>
      </c>
      <c r="P135" s="314">
        <f t="shared" si="106"/>
        <v>-398260.81451519992</v>
      </c>
      <c r="Q135" s="314">
        <f t="shared" si="106"/>
        <v>-517739.0588697599</v>
      </c>
      <c r="R135" s="314">
        <f t="shared" si="106"/>
        <v>-448707.18435379205</v>
      </c>
      <c r="S135" s="314">
        <f t="shared" si="106"/>
        <v>-560883.98044224002</v>
      </c>
      <c r="T135" s="314">
        <f t="shared" si="106"/>
        <v>-525828.73166459997</v>
      </c>
      <c r="U135" s="314">
        <f t="shared" si="106"/>
        <v>-657285.91458074993</v>
      </c>
      <c r="V135" s="314">
        <f t="shared" si="106"/>
        <v>-821607.39322593738</v>
      </c>
      <c r="W135" s="314">
        <f t="shared" si="106"/>
        <v>-1027009.2415324218</v>
      </c>
      <c r="X135" s="314">
        <f t="shared" si="106"/>
        <v>-1232411.0898389062</v>
      </c>
      <c r="Y135" s="314">
        <f t="shared" si="106"/>
        <v>-1478893.3078066874</v>
      </c>
      <c r="Z135" s="314">
        <f t="shared" si="106"/>
        <v>-1774671.969368025</v>
      </c>
    </row>
    <row r="136" spans="2:26" ht="3.75" customHeight="1">
      <c r="B136" s="132"/>
      <c r="E136" s="134"/>
      <c r="F136" s="134"/>
      <c r="G136" s="135"/>
      <c r="H136" s="134"/>
      <c r="I136" s="134"/>
      <c r="J136" s="134"/>
      <c r="K136" s="134"/>
      <c r="L136" s="134"/>
      <c r="M136" s="134"/>
      <c r="N136" s="134"/>
      <c r="O136" s="134"/>
      <c r="P136" s="134"/>
      <c r="Q136" s="134"/>
      <c r="R136" s="134"/>
      <c r="S136" s="134"/>
      <c r="T136" s="134"/>
      <c r="U136" s="134"/>
      <c r="V136" s="134"/>
      <c r="W136" s="134"/>
      <c r="X136" s="134"/>
      <c r="Y136" s="134"/>
      <c r="Z136" s="134"/>
    </row>
    <row r="137" spans="2:26" s="132" customFormat="1">
      <c r="B137" s="253" t="s">
        <v>422</v>
      </c>
      <c r="E137" s="291">
        <f>+_xlfn.XLOOKUP($B137,Inputs!$B:$B,Inputs!O:O)</f>
        <v>-12564</v>
      </c>
      <c r="F137" s="291">
        <f>+_xlfn.XLOOKUP($B137,Inputs!$B:$B,Inputs!P:P)</f>
        <v>-19549</v>
      </c>
      <c r="G137" s="292">
        <f>+_xlfn.XLOOKUP($B137,Inputs!$B:$B,Inputs!Q:Q)</f>
        <v>-23569</v>
      </c>
      <c r="H137" s="293">
        <f>+H138*H30</f>
        <v>-34458.400000000001</v>
      </c>
      <c r="I137" s="293">
        <f t="shared" ref="I137:Z137" si="107">+I138*I30</f>
        <v>-55133.440000000002</v>
      </c>
      <c r="J137" s="293">
        <f t="shared" si="107"/>
        <v>-74430.144</v>
      </c>
      <c r="K137" s="293">
        <f t="shared" si="107"/>
        <v>-111645.216</v>
      </c>
      <c r="L137" s="293">
        <f t="shared" si="107"/>
        <v>-148860.28800000003</v>
      </c>
      <c r="M137" s="293">
        <f t="shared" si="107"/>
        <v>-208404.40320000003</v>
      </c>
      <c r="N137" s="293">
        <f t="shared" si="107"/>
        <v>-255295.39391999997</v>
      </c>
      <c r="O137" s="293">
        <f t="shared" si="107"/>
        <v>-357413.55148799997</v>
      </c>
      <c r="P137" s="293">
        <f t="shared" si="107"/>
        <v>-398260.81451519992</v>
      </c>
      <c r="Q137" s="293">
        <f t="shared" si="107"/>
        <v>-517739.0588697599</v>
      </c>
      <c r="R137" s="293">
        <f t="shared" si="107"/>
        <v>-448707.18435379205</v>
      </c>
      <c r="S137" s="293">
        <f t="shared" si="107"/>
        <v>-560883.98044224002</v>
      </c>
      <c r="T137" s="293">
        <f t="shared" si="107"/>
        <v>-525828.73166459997</v>
      </c>
      <c r="U137" s="293">
        <f t="shared" si="107"/>
        <v>-657285.91458074993</v>
      </c>
      <c r="V137" s="293">
        <f t="shared" si="107"/>
        <v>-821607.39322593738</v>
      </c>
      <c r="W137" s="293">
        <f t="shared" si="107"/>
        <v>-1027009.2415324218</v>
      </c>
      <c r="X137" s="293">
        <f t="shared" si="107"/>
        <v>-1232411.0898389062</v>
      </c>
      <c r="Y137" s="293">
        <f t="shared" si="107"/>
        <v>-1478893.3078066874</v>
      </c>
      <c r="Z137" s="293">
        <f t="shared" si="107"/>
        <v>-1774671.969368025</v>
      </c>
    </row>
    <row r="138" spans="2:26" s="132" customFormat="1">
      <c r="B138" s="254" t="s">
        <v>379</v>
      </c>
      <c r="C138" s="254"/>
      <c r="D138" s="254"/>
      <c r="E138" s="280">
        <f>IFERROR(E137/E$30,"")</f>
        <v>-1.128739556194412</v>
      </c>
      <c r="F138" s="280">
        <f>IFERROR(F137/F$30,"")</f>
        <v>-0.88689774067688953</v>
      </c>
      <c r="G138" s="281">
        <f>IFERROR(G137/G$30,"")</f>
        <v>-0.54718733313212453</v>
      </c>
      <c r="H138" s="122">
        <v>-0.5</v>
      </c>
      <c r="I138" s="122">
        <v>-0.5</v>
      </c>
      <c r="J138" s="122">
        <v>-0.45</v>
      </c>
      <c r="K138" s="122">
        <v>-0.45</v>
      </c>
      <c r="L138" s="122">
        <v>-0.4</v>
      </c>
      <c r="M138" s="122">
        <v>-0.4</v>
      </c>
      <c r="N138" s="122">
        <v>-0.35</v>
      </c>
      <c r="O138" s="122">
        <v>-0.35</v>
      </c>
      <c r="P138" s="122">
        <v>-0.3</v>
      </c>
      <c r="Q138" s="122">
        <v>-0.3</v>
      </c>
      <c r="R138" s="122">
        <v>-0.2</v>
      </c>
      <c r="S138" s="122">
        <v>-0.2</v>
      </c>
      <c r="T138" s="122">
        <v>-0.15</v>
      </c>
      <c r="U138" s="122">
        <v>-0.15</v>
      </c>
      <c r="V138" s="122">
        <v>-0.15</v>
      </c>
      <c r="W138" s="122">
        <v>-0.15</v>
      </c>
      <c r="X138" s="122">
        <v>-0.15</v>
      </c>
      <c r="Y138" s="122">
        <v>-0.15</v>
      </c>
      <c r="Z138" s="122">
        <v>-0.15</v>
      </c>
    </row>
    <row r="139" spans="2:26" ht="3.75" customHeight="1">
      <c r="B139" s="253"/>
      <c r="E139" s="134"/>
      <c r="F139" s="134"/>
      <c r="G139" s="135"/>
      <c r="H139" s="134"/>
      <c r="I139" s="134"/>
      <c r="J139" s="134"/>
      <c r="K139" s="134"/>
      <c r="L139" s="134"/>
      <c r="M139" s="134"/>
      <c r="N139" s="134"/>
      <c r="O139" s="134"/>
      <c r="P139" s="134"/>
      <c r="Q139" s="134"/>
      <c r="R139" s="134"/>
      <c r="S139" s="134"/>
      <c r="T139" s="134"/>
      <c r="U139" s="134"/>
      <c r="V139" s="134"/>
      <c r="W139" s="134"/>
      <c r="X139" s="134"/>
      <c r="Y139" s="134"/>
      <c r="Z139" s="134"/>
    </row>
    <row r="140" spans="2:26" s="132" customFormat="1">
      <c r="B140" s="253" t="s">
        <v>423</v>
      </c>
      <c r="E140" s="291">
        <f>+_xlfn.XLOOKUP($B140,Inputs!$B:$B,Inputs!O:O)</f>
        <v>0</v>
      </c>
      <c r="F140" s="291">
        <f>+_xlfn.XLOOKUP($B140,Inputs!$B:$B,Inputs!P:P)</f>
        <v>0</v>
      </c>
      <c r="G140" s="292">
        <f>+_xlfn.XLOOKUP($B140,Inputs!$B:$B,Inputs!Q:Q)</f>
        <v>0</v>
      </c>
      <c r="H140" s="293">
        <f t="shared" ref="H140:Z140" si="108">IFERROR(H141*G101,"")</f>
        <v>0</v>
      </c>
      <c r="I140" s="293">
        <f t="shared" si="108"/>
        <v>0</v>
      </c>
      <c r="J140" s="293">
        <f t="shared" si="108"/>
        <v>0</v>
      </c>
      <c r="K140" s="293">
        <f t="shared" si="108"/>
        <v>0</v>
      </c>
      <c r="L140" s="293">
        <f t="shared" si="108"/>
        <v>0</v>
      </c>
      <c r="M140" s="293">
        <f t="shared" si="108"/>
        <v>0</v>
      </c>
      <c r="N140" s="293">
        <f t="shared" si="108"/>
        <v>0</v>
      </c>
      <c r="O140" s="293">
        <f t="shared" si="108"/>
        <v>0</v>
      </c>
      <c r="P140" s="293">
        <f t="shared" si="108"/>
        <v>0</v>
      </c>
      <c r="Q140" s="293">
        <f t="shared" si="108"/>
        <v>0</v>
      </c>
      <c r="R140" s="293">
        <f t="shared" si="108"/>
        <v>0</v>
      </c>
      <c r="S140" s="293">
        <f t="shared" si="108"/>
        <v>0</v>
      </c>
      <c r="T140" s="293">
        <f t="shared" si="108"/>
        <v>0</v>
      </c>
      <c r="U140" s="293">
        <f t="shared" si="108"/>
        <v>0</v>
      </c>
      <c r="V140" s="293">
        <f t="shared" si="108"/>
        <v>0</v>
      </c>
      <c r="W140" s="293">
        <f t="shared" si="108"/>
        <v>0</v>
      </c>
      <c r="X140" s="293">
        <f t="shared" si="108"/>
        <v>0</v>
      </c>
      <c r="Y140" s="293">
        <f t="shared" si="108"/>
        <v>0</v>
      </c>
      <c r="Z140" s="293">
        <f t="shared" si="108"/>
        <v>0</v>
      </c>
    </row>
    <row r="141" spans="2:26" customFormat="1" ht="14.25">
      <c r="B141" s="261" t="s">
        <v>424</v>
      </c>
      <c r="E141" s="260">
        <f>IFERROR(E140/E101,"")</f>
        <v>0</v>
      </c>
      <c r="F141" s="260">
        <f>IFERROR(F140/F101,"")</f>
        <v>0</v>
      </c>
      <c r="G141" s="287">
        <f>IFERROR(G140/G101,"")</f>
        <v>0</v>
      </c>
      <c r="H141" s="279">
        <f>IFERROR(AVERAGE(E141:G141),"")</f>
        <v>0</v>
      </c>
      <c r="I141" s="279">
        <f t="shared" ref="I141:P141" si="109">IFERROR(AVERAGE(F141:H141),"")</f>
        <v>0</v>
      </c>
      <c r="J141" s="279">
        <f t="shared" si="109"/>
        <v>0</v>
      </c>
      <c r="K141" s="279">
        <f t="shared" si="109"/>
        <v>0</v>
      </c>
      <c r="L141" s="279">
        <f t="shared" si="109"/>
        <v>0</v>
      </c>
      <c r="M141" s="279">
        <f t="shared" si="109"/>
        <v>0</v>
      </c>
      <c r="N141" s="279">
        <f t="shared" si="109"/>
        <v>0</v>
      </c>
      <c r="O141" s="279">
        <f t="shared" si="109"/>
        <v>0</v>
      </c>
      <c r="P141" s="279">
        <f t="shared" si="109"/>
        <v>0</v>
      </c>
      <c r="Q141" s="279">
        <f t="shared" ref="Q141:Z141" si="110">IFERROR(AVERAGE(N141:P141),"")</f>
        <v>0</v>
      </c>
      <c r="R141" s="279">
        <f t="shared" si="110"/>
        <v>0</v>
      </c>
      <c r="S141" s="279">
        <f t="shared" si="110"/>
        <v>0</v>
      </c>
      <c r="T141" s="279">
        <f t="shared" si="110"/>
        <v>0</v>
      </c>
      <c r="U141" s="279">
        <f t="shared" si="110"/>
        <v>0</v>
      </c>
      <c r="V141" s="279">
        <f t="shared" si="110"/>
        <v>0</v>
      </c>
      <c r="W141" s="279">
        <f t="shared" si="110"/>
        <v>0</v>
      </c>
      <c r="X141" s="279">
        <f t="shared" si="110"/>
        <v>0</v>
      </c>
      <c r="Y141" s="279">
        <f t="shared" si="110"/>
        <v>0</v>
      </c>
      <c r="Z141" s="279">
        <f t="shared" si="110"/>
        <v>0</v>
      </c>
    </row>
    <row r="142" spans="2:26" ht="3.75" customHeight="1">
      <c r="B142" s="132"/>
      <c r="E142" s="134"/>
      <c r="F142" s="134"/>
      <c r="G142" s="135"/>
      <c r="H142" s="134"/>
      <c r="I142" s="134"/>
      <c r="J142" s="134"/>
      <c r="K142" s="134"/>
      <c r="L142" s="134"/>
      <c r="M142" s="134"/>
      <c r="N142" s="134"/>
      <c r="O142" s="134"/>
      <c r="P142" s="134"/>
      <c r="Q142" s="134"/>
      <c r="R142" s="134"/>
      <c r="S142" s="134"/>
      <c r="T142" s="134"/>
      <c r="U142" s="134"/>
      <c r="V142" s="134"/>
      <c r="W142" s="134"/>
      <c r="X142" s="134"/>
      <c r="Y142" s="134"/>
      <c r="Z142" s="134"/>
    </row>
    <row r="143" spans="2:26" ht="13.5" customHeight="1">
      <c r="B143" s="178" t="s">
        <v>425</v>
      </c>
      <c r="E143" s="291">
        <f>+_xlfn.XLOOKUP($B143,Inputs!$B:$B,Inputs!O:O)</f>
        <v>309197</v>
      </c>
      <c r="F143" s="291">
        <f>+_xlfn.XLOOKUP($B143,Inputs!$B:$B,Inputs!P:P)</f>
        <v>386760</v>
      </c>
      <c r="G143" s="292">
        <f>+_xlfn.XLOOKUP($B143,Inputs!$B:$B,Inputs!Q:Q)</f>
        <v>-15454</v>
      </c>
      <c r="H143" s="305">
        <v>0</v>
      </c>
      <c r="I143" s="305">
        <v>0</v>
      </c>
      <c r="J143" s="305">
        <v>0</v>
      </c>
      <c r="K143" s="305">
        <v>0</v>
      </c>
      <c r="L143" s="305">
        <v>0</v>
      </c>
      <c r="M143" s="305">
        <v>0</v>
      </c>
      <c r="N143" s="305">
        <v>0</v>
      </c>
      <c r="O143" s="305">
        <v>0</v>
      </c>
      <c r="P143" s="305">
        <v>0</v>
      </c>
      <c r="Q143" s="305">
        <v>0</v>
      </c>
      <c r="R143" s="305">
        <v>0</v>
      </c>
      <c r="S143" s="305">
        <v>0</v>
      </c>
      <c r="T143" s="305">
        <v>0</v>
      </c>
      <c r="U143" s="305">
        <v>0</v>
      </c>
      <c r="V143" s="305">
        <v>0</v>
      </c>
      <c r="W143" s="305">
        <v>0</v>
      </c>
      <c r="X143" s="305">
        <v>0</v>
      </c>
      <c r="Y143" s="305">
        <v>0</v>
      </c>
      <c r="Z143" s="305">
        <v>0</v>
      </c>
    </row>
    <row r="144" spans="2:26" ht="3.75" customHeight="1">
      <c r="B144" s="132"/>
      <c r="E144" s="134"/>
      <c r="F144" s="134"/>
      <c r="G144" s="142"/>
      <c r="H144" s="134"/>
      <c r="I144" s="134"/>
      <c r="J144" s="134"/>
      <c r="K144" s="134"/>
      <c r="L144" s="134"/>
      <c r="M144" s="134"/>
      <c r="N144" s="134"/>
      <c r="O144" s="134"/>
      <c r="P144" s="134"/>
      <c r="Q144" s="134"/>
      <c r="R144" s="134"/>
      <c r="S144" s="134"/>
      <c r="T144" s="134"/>
      <c r="U144" s="134"/>
      <c r="V144" s="134"/>
      <c r="W144" s="134"/>
      <c r="X144" s="134"/>
      <c r="Y144" s="134"/>
      <c r="Z144" s="134"/>
    </row>
    <row r="145" spans="2:26" ht="13.5" customHeight="1">
      <c r="B145" s="353" t="s">
        <v>426</v>
      </c>
      <c r="C145" s="353"/>
      <c r="D145" s="353"/>
      <c r="E145" s="354">
        <f>+_xlfn.XLOOKUP($B145,Inputs!$B:$B,Inputs!O:O)</f>
        <v>-605689</v>
      </c>
      <c r="F145" s="354">
        <f>+_xlfn.XLOOKUP($B145,Inputs!$B:$B,Inputs!P:P)</f>
        <v>-298445</v>
      </c>
      <c r="G145" s="355">
        <f>+_xlfn.XLOOKUP($B145,Inputs!$B:$B,Inputs!Q:Q)</f>
        <v>121753</v>
      </c>
      <c r="H145" s="356">
        <f t="shared" ref="H145:Z145" si="111">IFERROR(AVERAGE(E145:G145)*(1+H31),"")</f>
        <v>-417269.8666666667</v>
      </c>
      <c r="I145" s="356">
        <f t="shared" si="111"/>
        <v>-316779.66222222225</v>
      </c>
      <c r="J145" s="356">
        <f t="shared" si="111"/>
        <v>-306148.26444444444</v>
      </c>
      <c r="K145" s="356">
        <f t="shared" si="111"/>
        <v>-520098.89666666661</v>
      </c>
      <c r="L145" s="356">
        <f t="shared" si="111"/>
        <v>-571513.41166666662</v>
      </c>
      <c r="M145" s="356">
        <f t="shared" si="111"/>
        <v>-652288.2672962962</v>
      </c>
      <c r="N145" s="356">
        <f t="shared" si="111"/>
        <v>-813820.26862716035</v>
      </c>
      <c r="O145" s="356">
        <f t="shared" si="111"/>
        <v>-950890.24220872391</v>
      </c>
      <c r="P145" s="356">
        <f t="shared" si="111"/>
        <v>-1047366.1371906116</v>
      </c>
      <c r="Q145" s="356">
        <f t="shared" si="111"/>
        <v>-1218566.5474781482</v>
      </c>
      <c r="R145" s="356">
        <f t="shared" si="111"/>
        <v>-1393956.6016469095</v>
      </c>
      <c r="S145" s="356">
        <f t="shared" si="111"/>
        <v>-1524953.8692981957</v>
      </c>
      <c r="T145" s="356">
        <f t="shared" si="111"/>
        <v>-1723948.7576763555</v>
      </c>
      <c r="U145" s="356">
        <f t="shared" si="111"/>
        <v>-1934524.6785922754</v>
      </c>
      <c r="V145" s="356">
        <f t="shared" si="111"/>
        <v>-2159761.377319511</v>
      </c>
      <c r="W145" s="356">
        <f t="shared" si="111"/>
        <v>-2424264.505661726</v>
      </c>
      <c r="X145" s="356">
        <f t="shared" si="111"/>
        <v>-2607420.2246294054</v>
      </c>
      <c r="Y145" s="356">
        <f t="shared" si="111"/>
        <v>-2876578.4430442569</v>
      </c>
      <c r="Z145" s="356">
        <f t="shared" si="111"/>
        <v>-3163305.2693341551</v>
      </c>
    </row>
    <row r="146" spans="2:26" ht="5.25" customHeight="1">
      <c r="E146" s="306"/>
      <c r="F146" s="306"/>
      <c r="G146" s="292"/>
      <c r="H146" s="293"/>
      <c r="I146" s="293"/>
      <c r="J146" s="293"/>
      <c r="K146" s="293"/>
      <c r="L146" s="293"/>
      <c r="M146" s="293"/>
      <c r="N146" s="293"/>
      <c r="O146" s="293"/>
      <c r="P146" s="293"/>
      <c r="Q146" s="293"/>
      <c r="R146" s="293"/>
      <c r="S146" s="293"/>
      <c r="T146" s="293"/>
      <c r="U146" s="293"/>
      <c r="V146" s="293"/>
      <c r="W146" s="293"/>
      <c r="X146" s="293"/>
      <c r="Y146" s="293"/>
      <c r="Z146" s="293"/>
    </row>
    <row r="147" spans="2:26" ht="13.5" customHeight="1">
      <c r="B147" s="129" t="s">
        <v>282</v>
      </c>
      <c r="C147" s="129"/>
      <c r="D147" s="129"/>
      <c r="E147" s="315">
        <f>+_xlfn.XLOOKUP($B147,Inputs!$B:$B,Inputs!O:O)</f>
        <v>-309056</v>
      </c>
      <c r="F147" s="315">
        <f>+_xlfn.XLOOKUP($B147,Inputs!$B:$B,Inputs!P:P)</f>
        <v>68766</v>
      </c>
      <c r="G147" s="316">
        <f>+_xlfn.XLOOKUP($B147,Inputs!$B:$B,Inputs!Q:Q)</f>
        <v>82730</v>
      </c>
      <c r="H147" s="320">
        <f t="shared" ref="H147:Z147" si="112">IFERROR(+H135+H143+H145,"")</f>
        <v>-451728.26666666672</v>
      </c>
      <c r="I147" s="320">
        <f t="shared" si="112"/>
        <v>-371913.10222222225</v>
      </c>
      <c r="J147" s="320">
        <f t="shared" si="112"/>
        <v>-380578.40844444442</v>
      </c>
      <c r="K147" s="320">
        <f t="shared" si="112"/>
        <v>-631744.11266666662</v>
      </c>
      <c r="L147" s="320">
        <f t="shared" si="112"/>
        <v>-720373.69966666668</v>
      </c>
      <c r="M147" s="320">
        <f t="shared" si="112"/>
        <v>-860692.67049629625</v>
      </c>
      <c r="N147" s="320">
        <f t="shared" si="112"/>
        <v>-1069115.6625471604</v>
      </c>
      <c r="O147" s="320">
        <f t="shared" si="112"/>
        <v>-1308303.7936967239</v>
      </c>
      <c r="P147" s="320">
        <f t="shared" si="112"/>
        <v>-1445626.9517058115</v>
      </c>
      <c r="Q147" s="320">
        <f t="shared" si="112"/>
        <v>-1736305.6063479083</v>
      </c>
      <c r="R147" s="320">
        <f t="shared" si="112"/>
        <v>-1842663.7860007016</v>
      </c>
      <c r="S147" s="320">
        <f t="shared" si="112"/>
        <v>-2085837.8497404358</v>
      </c>
      <c r="T147" s="320">
        <f t="shared" si="112"/>
        <v>-2249777.4893409554</v>
      </c>
      <c r="U147" s="320">
        <f t="shared" si="112"/>
        <v>-2591810.5931730252</v>
      </c>
      <c r="V147" s="320">
        <f t="shared" si="112"/>
        <v>-2981368.7705454482</v>
      </c>
      <c r="W147" s="320">
        <f t="shared" si="112"/>
        <v>-3451273.7471941477</v>
      </c>
      <c r="X147" s="320">
        <f t="shared" si="112"/>
        <v>-3839831.3144683116</v>
      </c>
      <c r="Y147" s="320">
        <f t="shared" si="112"/>
        <v>-4355471.7508509438</v>
      </c>
      <c r="Z147" s="320">
        <f t="shared" si="112"/>
        <v>-4937977.2387021799</v>
      </c>
    </row>
    <row r="148" spans="2:26" ht="3.75" customHeight="1">
      <c r="E148" s="306"/>
      <c r="F148" s="306"/>
      <c r="G148" s="292"/>
      <c r="H148" s="293"/>
      <c r="I148" s="293"/>
      <c r="J148" s="293"/>
      <c r="K148" s="293"/>
      <c r="L148" s="293"/>
      <c r="M148" s="293"/>
      <c r="N148" s="293"/>
      <c r="O148" s="293"/>
      <c r="P148" s="293"/>
      <c r="Q148" s="293"/>
      <c r="R148" s="293"/>
      <c r="S148" s="293"/>
      <c r="T148" s="293"/>
      <c r="U148" s="293"/>
      <c r="V148" s="293"/>
      <c r="W148" s="293"/>
      <c r="X148" s="293"/>
      <c r="Y148" s="293"/>
      <c r="Z148" s="293"/>
    </row>
    <row r="149" spans="2:26" ht="13.5" customHeight="1">
      <c r="B149" s="311" t="s">
        <v>427</v>
      </c>
      <c r="C149" s="311"/>
      <c r="D149" s="311"/>
      <c r="E149" s="312">
        <f>+_xlfn.XLOOKUP($B149,Inputs!$B:$B,Inputs!O:O)</f>
        <v>0</v>
      </c>
      <c r="F149" s="312">
        <f>+_xlfn.XLOOKUP($B149,Inputs!$B:$B,Inputs!P:P)</f>
        <v>0</v>
      </c>
      <c r="G149" s="313">
        <f>+_xlfn.XLOOKUP($B149,Inputs!$B:$B,Inputs!Q:Q)</f>
        <v>0</v>
      </c>
      <c r="H149" s="311">
        <f t="shared" ref="H149:Z149" ca="1" si="113">+IFERROR(H150*_xlfn.XLOOKUP("Net Income",$B:$B,$H:$H),"")</f>
        <v>0</v>
      </c>
      <c r="I149" s="311">
        <f t="shared" ca="1" si="113"/>
        <v>0</v>
      </c>
      <c r="J149" s="311">
        <f t="shared" ca="1" si="113"/>
        <v>0</v>
      </c>
      <c r="K149" s="311">
        <f t="shared" ca="1" si="113"/>
        <v>0</v>
      </c>
      <c r="L149" s="311">
        <f t="shared" ca="1" si="113"/>
        <v>0</v>
      </c>
      <c r="M149" s="311">
        <f t="shared" ca="1" si="113"/>
        <v>0</v>
      </c>
      <c r="N149" s="311">
        <f t="shared" ca="1" si="113"/>
        <v>0</v>
      </c>
      <c r="O149" s="311">
        <f t="shared" ca="1" si="113"/>
        <v>0</v>
      </c>
      <c r="P149" s="311">
        <f t="shared" ca="1" si="113"/>
        <v>0</v>
      </c>
      <c r="Q149" s="311">
        <f t="shared" ca="1" si="113"/>
        <v>0</v>
      </c>
      <c r="R149" s="311">
        <f t="shared" ca="1" si="113"/>
        <v>0</v>
      </c>
      <c r="S149" s="311">
        <f t="shared" ca="1" si="113"/>
        <v>0</v>
      </c>
      <c r="T149" s="311">
        <f t="shared" ca="1" si="113"/>
        <v>0</v>
      </c>
      <c r="U149" s="311">
        <f t="shared" ca="1" si="113"/>
        <v>0</v>
      </c>
      <c r="V149" s="311">
        <f t="shared" ca="1" si="113"/>
        <v>0</v>
      </c>
      <c r="W149" s="311">
        <f t="shared" ca="1" si="113"/>
        <v>0</v>
      </c>
      <c r="X149" s="311">
        <f t="shared" ca="1" si="113"/>
        <v>0</v>
      </c>
      <c r="Y149" s="311">
        <f t="shared" ca="1" si="113"/>
        <v>0</v>
      </c>
      <c r="Z149" s="311">
        <f t="shared" ca="1" si="113"/>
        <v>0</v>
      </c>
    </row>
    <row r="150" spans="2:26" ht="13.5" customHeight="1">
      <c r="B150" s="254" t="s">
        <v>428</v>
      </c>
      <c r="E150" s="307">
        <f>IFERROR(-E149/E$82,"")</f>
        <v>0</v>
      </c>
      <c r="F150" s="307">
        <f>IFERROR(-F149/F$82,"")</f>
        <v>0</v>
      </c>
      <c r="G150" s="308">
        <f>IFERROR(-G149/G$82,"")</f>
        <v>0</v>
      </c>
      <c r="H150" s="309">
        <v>0</v>
      </c>
      <c r="I150" s="309">
        <v>0</v>
      </c>
      <c r="J150" s="309">
        <v>0</v>
      </c>
      <c r="K150" s="309">
        <v>0</v>
      </c>
      <c r="L150" s="309">
        <v>0</v>
      </c>
      <c r="M150" s="309">
        <v>0</v>
      </c>
      <c r="N150" s="309">
        <v>0</v>
      </c>
      <c r="O150" s="309">
        <v>0</v>
      </c>
      <c r="P150" s="309">
        <v>0</v>
      </c>
      <c r="Q150" s="309">
        <v>0</v>
      </c>
      <c r="R150" s="309">
        <v>0</v>
      </c>
      <c r="S150" s="309">
        <v>0</v>
      </c>
      <c r="T150" s="309">
        <v>0</v>
      </c>
      <c r="U150" s="309">
        <v>0</v>
      </c>
      <c r="V150" s="309">
        <v>0</v>
      </c>
      <c r="W150" s="309">
        <v>0</v>
      </c>
      <c r="X150" s="309">
        <v>0</v>
      </c>
      <c r="Y150" s="309">
        <v>0</v>
      </c>
      <c r="Z150" s="309">
        <v>0</v>
      </c>
    </row>
    <row r="151" spans="2:26" ht="3.75" customHeight="1">
      <c r="E151" s="306"/>
      <c r="F151" s="306"/>
      <c r="G151" s="292"/>
      <c r="H151" s="293"/>
      <c r="I151" s="293"/>
      <c r="J151" s="293"/>
      <c r="K151" s="293"/>
      <c r="L151" s="293"/>
      <c r="M151" s="293"/>
      <c r="N151" s="293"/>
      <c r="O151" s="293"/>
      <c r="P151" s="293"/>
      <c r="Q151" s="293"/>
      <c r="R151" s="293"/>
      <c r="S151" s="293"/>
      <c r="T151" s="293"/>
      <c r="U151" s="293"/>
      <c r="V151" s="293"/>
      <c r="W151" s="293"/>
      <c r="X151" s="293"/>
      <c r="Y151" s="293"/>
      <c r="Z151" s="293"/>
    </row>
    <row r="152" spans="2:26" ht="13.5" customHeight="1">
      <c r="B152" s="105" t="s">
        <v>429</v>
      </c>
      <c r="E152" s="267">
        <f>+_xlfn.XLOOKUP($B152,Inputs!$B:$B,Inputs!O:O)</f>
        <v>-905</v>
      </c>
      <c r="F152" s="267">
        <f>+_xlfn.XLOOKUP($B152,Inputs!$B:$B,Inputs!P:P)</f>
        <v>1954</v>
      </c>
      <c r="G152" s="268">
        <f>+_xlfn.XLOOKUP($B152,Inputs!$B:$B,Inputs!Q:Q)</f>
        <v>41449</v>
      </c>
      <c r="H152" s="148">
        <f t="shared" ref="H152:Z152" ca="1" si="114">IFERROR(-H153*_xlfn.XLOOKUP("Net Income",$B:$B,H:H),"")</f>
        <v>0</v>
      </c>
      <c r="I152" s="148">
        <f t="shared" ca="1" si="114"/>
        <v>0</v>
      </c>
      <c r="J152" s="148">
        <f t="shared" ca="1" si="114"/>
        <v>0</v>
      </c>
      <c r="K152" s="148">
        <f t="shared" ca="1" si="114"/>
        <v>0</v>
      </c>
      <c r="L152" s="148">
        <f t="shared" ca="1" si="114"/>
        <v>0</v>
      </c>
      <c r="M152" s="148">
        <f t="shared" ca="1" si="114"/>
        <v>0</v>
      </c>
      <c r="N152" s="148">
        <f t="shared" ca="1" si="114"/>
        <v>0</v>
      </c>
      <c r="O152" s="148">
        <f t="shared" ca="1" si="114"/>
        <v>0</v>
      </c>
      <c r="P152" s="148">
        <f t="shared" ca="1" si="114"/>
        <v>0</v>
      </c>
      <c r="Q152" s="148">
        <f t="shared" ca="1" si="114"/>
        <v>0</v>
      </c>
      <c r="R152" s="148">
        <f t="shared" ca="1" si="114"/>
        <v>0</v>
      </c>
      <c r="S152" s="148">
        <f t="shared" ca="1" si="114"/>
        <v>0</v>
      </c>
      <c r="T152" s="148">
        <f t="shared" ca="1" si="114"/>
        <v>0</v>
      </c>
      <c r="U152" s="148">
        <f t="shared" ca="1" si="114"/>
        <v>0</v>
      </c>
      <c r="V152" s="148">
        <f t="shared" ca="1" si="114"/>
        <v>0</v>
      </c>
      <c r="W152" s="148">
        <f t="shared" ca="1" si="114"/>
        <v>0</v>
      </c>
      <c r="X152" s="148">
        <f t="shared" ca="1" si="114"/>
        <v>0</v>
      </c>
      <c r="Y152" s="148">
        <f t="shared" ca="1" si="114"/>
        <v>0</v>
      </c>
      <c r="Z152" s="148">
        <f t="shared" ca="1" si="114"/>
        <v>0</v>
      </c>
    </row>
    <row r="153" spans="2:26" ht="13.5" customHeight="1">
      <c r="B153" s="254" t="s">
        <v>430</v>
      </c>
      <c r="E153" s="307">
        <f>IFERROR(-E152/E$82,"")</f>
        <v>-1.8655562655892476E-2</v>
      </c>
      <c r="F153" s="307">
        <f>IFERROR(-F152/F$82,"")</f>
        <v>1.2388804456784273E-2</v>
      </c>
      <c r="G153" s="308">
        <f>IFERROR(-G152/G$82,"")</f>
        <v>0.12500148565361938</v>
      </c>
      <c r="H153" s="309">
        <v>0</v>
      </c>
      <c r="I153" s="309">
        <v>0</v>
      </c>
      <c r="J153" s="309">
        <v>0</v>
      </c>
      <c r="K153" s="309">
        <v>0</v>
      </c>
      <c r="L153" s="309">
        <v>0</v>
      </c>
      <c r="M153" s="309">
        <v>0</v>
      </c>
      <c r="N153" s="309">
        <v>0</v>
      </c>
      <c r="O153" s="309">
        <v>0</v>
      </c>
      <c r="P153" s="309">
        <v>0</v>
      </c>
      <c r="Q153" s="309">
        <v>0</v>
      </c>
      <c r="R153" s="309">
        <v>0</v>
      </c>
      <c r="S153" s="309">
        <v>0</v>
      </c>
      <c r="T153" s="309">
        <v>0</v>
      </c>
      <c r="U153" s="309">
        <v>0</v>
      </c>
      <c r="V153" s="309">
        <v>0</v>
      </c>
      <c r="W153" s="309">
        <v>0</v>
      </c>
      <c r="X153" s="309">
        <v>0</v>
      </c>
      <c r="Y153" s="309">
        <v>0</v>
      </c>
      <c r="Z153" s="309">
        <v>0</v>
      </c>
    </row>
    <row r="154" spans="2:26" ht="3.75" customHeight="1">
      <c r="E154" s="306"/>
      <c r="F154" s="306"/>
      <c r="G154" s="292"/>
      <c r="H154" s="293"/>
      <c r="I154" s="293"/>
      <c r="J154" s="293"/>
      <c r="K154" s="293"/>
      <c r="L154" s="293"/>
      <c r="M154" s="293"/>
      <c r="N154" s="293"/>
      <c r="O154" s="293"/>
      <c r="P154" s="293"/>
      <c r="Q154" s="293"/>
      <c r="R154" s="293"/>
      <c r="S154" s="293"/>
      <c r="T154" s="293"/>
      <c r="U154" s="293"/>
      <c r="V154" s="293"/>
      <c r="W154" s="293"/>
      <c r="X154" s="293"/>
      <c r="Y154" s="293"/>
      <c r="Z154" s="293"/>
    </row>
    <row r="155" spans="2:26">
      <c r="B155" s="105" t="s">
        <v>431</v>
      </c>
      <c r="E155" s="267">
        <f>+_xlfn.XLOOKUP($B155,Inputs!$B:$B,Inputs!O:O)</f>
        <v>0</v>
      </c>
      <c r="F155" s="267">
        <f>+_xlfn.XLOOKUP($B155,Inputs!$B:$B,Inputs!P:P)</f>
        <v>0</v>
      </c>
      <c r="G155" s="268">
        <f>+_xlfn.XLOOKUP($B155,Inputs!$B:$B,Inputs!Q:Q)</f>
        <v>0</v>
      </c>
      <c r="H155" s="148">
        <f t="shared" ref="H155:Z155" si="115">+IFERROR(H156*H102,"")</f>
        <v>0</v>
      </c>
      <c r="I155" s="148">
        <f t="shared" si="115"/>
        <v>0</v>
      </c>
      <c r="J155" s="148">
        <f t="shared" si="115"/>
        <v>0</v>
      </c>
      <c r="K155" s="148">
        <f t="shared" si="115"/>
        <v>0</v>
      </c>
      <c r="L155" s="148">
        <f t="shared" si="115"/>
        <v>0</v>
      </c>
      <c r="M155" s="148">
        <f t="shared" si="115"/>
        <v>0</v>
      </c>
      <c r="N155" s="148">
        <f t="shared" si="115"/>
        <v>0</v>
      </c>
      <c r="O155" s="148">
        <f t="shared" si="115"/>
        <v>0</v>
      </c>
      <c r="P155" s="148">
        <f t="shared" si="115"/>
        <v>0</v>
      </c>
      <c r="Q155" s="148">
        <f t="shared" si="115"/>
        <v>0</v>
      </c>
      <c r="R155" s="148">
        <f t="shared" si="115"/>
        <v>0</v>
      </c>
      <c r="S155" s="148">
        <f t="shared" si="115"/>
        <v>0</v>
      </c>
      <c r="T155" s="148">
        <f t="shared" si="115"/>
        <v>0</v>
      </c>
      <c r="U155" s="148">
        <f t="shared" si="115"/>
        <v>0</v>
      </c>
      <c r="V155" s="148">
        <f t="shared" si="115"/>
        <v>0</v>
      </c>
      <c r="W155" s="148">
        <f t="shared" si="115"/>
        <v>0</v>
      </c>
      <c r="X155" s="148">
        <f t="shared" si="115"/>
        <v>0</v>
      </c>
      <c r="Y155" s="148">
        <f t="shared" si="115"/>
        <v>0</v>
      </c>
      <c r="Z155" s="148">
        <f t="shared" si="115"/>
        <v>0</v>
      </c>
    </row>
    <row r="156" spans="2:26">
      <c r="B156" s="254" t="s">
        <v>432</v>
      </c>
      <c r="E156" s="256" t="str">
        <f>IFERROR(E155/E102,"")</f>
        <v/>
      </c>
      <c r="F156" s="256" t="str">
        <f>IFERROR(F155/F102,"")</f>
        <v/>
      </c>
      <c r="G156" s="258" t="str">
        <f>IFERROR(G155/G102,"")</f>
        <v/>
      </c>
      <c r="H156" s="279">
        <v>0</v>
      </c>
      <c r="I156" s="279">
        <v>0</v>
      </c>
      <c r="J156" s="279">
        <v>0</v>
      </c>
      <c r="K156" s="279">
        <v>0</v>
      </c>
      <c r="L156" s="279">
        <v>0</v>
      </c>
      <c r="M156" s="279">
        <v>0</v>
      </c>
      <c r="N156" s="279">
        <v>0</v>
      </c>
      <c r="O156" s="279">
        <v>0</v>
      </c>
      <c r="P156" s="279">
        <v>0</v>
      </c>
      <c r="Q156" s="279">
        <v>0</v>
      </c>
      <c r="R156" s="279">
        <v>0</v>
      </c>
      <c r="S156" s="279">
        <v>0</v>
      </c>
      <c r="T156" s="279">
        <v>0</v>
      </c>
      <c r="U156" s="279">
        <v>0</v>
      </c>
      <c r="V156" s="279">
        <v>0</v>
      </c>
      <c r="W156" s="279">
        <v>0</v>
      </c>
      <c r="X156" s="279">
        <v>0</v>
      </c>
      <c r="Y156" s="279">
        <v>0</v>
      </c>
      <c r="Z156" s="279">
        <v>0</v>
      </c>
    </row>
    <row r="157" spans="2:26" ht="3.75" customHeight="1">
      <c r="B157" s="254"/>
      <c r="E157" s="256"/>
      <c r="F157" s="256"/>
      <c r="G157" s="258"/>
      <c r="H157" s="304"/>
      <c r="I157" s="304"/>
      <c r="J157" s="304"/>
      <c r="K157" s="304"/>
      <c r="L157" s="304"/>
      <c r="M157" s="304"/>
      <c r="N157" s="304"/>
      <c r="O157" s="304"/>
      <c r="P157" s="304"/>
      <c r="Q157" s="304"/>
      <c r="R157" s="304"/>
      <c r="S157" s="304"/>
      <c r="T157" s="304"/>
      <c r="U157" s="304"/>
      <c r="V157" s="304"/>
      <c r="W157" s="304"/>
      <c r="X157" s="304"/>
      <c r="Y157" s="304"/>
      <c r="Z157" s="304"/>
    </row>
    <row r="158" spans="2:26">
      <c r="B158" s="105" t="s">
        <v>283</v>
      </c>
      <c r="E158" s="130">
        <f>+_xlfn.XLOOKUP($B158,Inputs!$B:$B,Inputs!O:O)</f>
        <v>0</v>
      </c>
      <c r="F158" s="130">
        <f>+_xlfn.XLOOKUP($B158,Inputs!$B:$B,Inputs!P:P)</f>
        <v>0</v>
      </c>
      <c r="G158" s="246">
        <f>+_xlfn.XLOOKUP($B158,Inputs!$B:$B,Inputs!Q:Q)</f>
        <v>0</v>
      </c>
      <c r="H158" s="293">
        <f>IFERROR(MAX(0,-G246),"")</f>
        <v>245379.05900000001</v>
      </c>
      <c r="I158" s="293">
        <f t="shared" ref="I158:P158" si="116">IFERROR(MAX(0,-H246),"")</f>
        <v>0</v>
      </c>
      <c r="J158" s="293">
        <f t="shared" si="116"/>
        <v>291521.2153277804</v>
      </c>
      <c r="K158" s="293">
        <f t="shared" si="116"/>
        <v>79751.71027225029</v>
      </c>
      <c r="L158" s="293">
        <f t="shared" si="116"/>
        <v>388563.71629105619</v>
      </c>
      <c r="M158" s="293">
        <f t="shared" si="116"/>
        <v>183290.34898138797</v>
      </c>
      <c r="N158" s="293">
        <f t="shared" si="116"/>
        <v>456197.53406828752</v>
      </c>
      <c r="O158" s="293">
        <f t="shared" si="116"/>
        <v>234575.61941337708</v>
      </c>
      <c r="P158" s="293">
        <f t="shared" si="116"/>
        <v>528236.43045637314</v>
      </c>
      <c r="Q158" s="293">
        <f t="shared" ref="Q158:Z158" si="117">IFERROR(MAX(0,-P246),"")</f>
        <v>208068.29159634735</v>
      </c>
      <c r="R158" s="293">
        <f t="shared" si="117"/>
        <v>550890.38436294545</v>
      </c>
      <c r="S158" s="293">
        <f t="shared" si="117"/>
        <v>7602.8113808040507</v>
      </c>
      <c r="T158" s="293">
        <f t="shared" si="117"/>
        <v>488555.90423490421</v>
      </c>
      <c r="U158" s="293">
        <f t="shared" si="117"/>
        <v>0</v>
      </c>
      <c r="V158" s="293">
        <f t="shared" si="117"/>
        <v>134212.16505580849</v>
      </c>
      <c r="W158" s="293">
        <f t="shared" si="117"/>
        <v>0</v>
      </c>
      <c r="X158" s="293">
        <f t="shared" si="117"/>
        <v>0</v>
      </c>
      <c r="Y158" s="293">
        <f t="shared" si="117"/>
        <v>0</v>
      </c>
      <c r="Z158" s="293">
        <f t="shared" si="117"/>
        <v>0</v>
      </c>
    </row>
    <row r="159" spans="2:26" ht="3.75" customHeight="1">
      <c r="B159" s="254"/>
      <c r="E159" s="256"/>
      <c r="F159" s="256"/>
      <c r="G159" s="258"/>
      <c r="H159" s="304"/>
      <c r="I159" s="304"/>
      <c r="J159" s="304"/>
      <c r="K159" s="304"/>
      <c r="L159" s="304"/>
      <c r="M159" s="304"/>
      <c r="N159" s="304"/>
      <c r="O159" s="304"/>
      <c r="P159" s="304"/>
      <c r="Q159" s="304"/>
      <c r="R159" s="304"/>
      <c r="S159" s="304"/>
      <c r="T159" s="304"/>
      <c r="U159" s="304"/>
      <c r="V159" s="304"/>
      <c r="W159" s="304"/>
      <c r="X159" s="304"/>
      <c r="Y159" s="304"/>
      <c r="Z159" s="304"/>
    </row>
    <row r="160" spans="2:26">
      <c r="B160" s="105" t="s">
        <v>284</v>
      </c>
      <c r="E160" s="130">
        <f>+_xlfn.XLOOKUP($B160,Inputs!$B:$B,Inputs!O:O)</f>
        <v>0</v>
      </c>
      <c r="F160" s="130">
        <f>+_xlfn.XLOOKUP($B160,Inputs!$B:$B,Inputs!P:P)</f>
        <v>0</v>
      </c>
      <c r="G160" s="246">
        <f>+_xlfn.XLOOKUP($B160,Inputs!$B:$B,Inputs!Q:Q)</f>
        <v>0</v>
      </c>
      <c r="H160" s="293">
        <f>IFERROR(MAX(0,H161*G246),"")</f>
        <v>0</v>
      </c>
      <c r="I160" s="293">
        <f t="shared" ref="I160:P160" si="118">IFERROR(MAX(0,I161*H246),"")</f>
        <v>0</v>
      </c>
      <c r="J160" s="293">
        <f t="shared" si="118"/>
        <v>0</v>
      </c>
      <c r="K160" s="293">
        <f t="shared" si="118"/>
        <v>0</v>
      </c>
      <c r="L160" s="293">
        <f t="shared" si="118"/>
        <v>0</v>
      </c>
      <c r="M160" s="293">
        <f t="shared" si="118"/>
        <v>0</v>
      </c>
      <c r="N160" s="293">
        <f t="shared" si="118"/>
        <v>0</v>
      </c>
      <c r="O160" s="293">
        <f t="shared" si="118"/>
        <v>0</v>
      </c>
      <c r="P160" s="293">
        <f t="shared" si="118"/>
        <v>0</v>
      </c>
      <c r="Q160" s="293">
        <f t="shared" ref="Q160:Z160" si="119">IFERROR(MAX(0,Q161*P246),"")</f>
        <v>0</v>
      </c>
      <c r="R160" s="293">
        <f t="shared" si="119"/>
        <v>0</v>
      </c>
      <c r="S160" s="293">
        <f t="shared" si="119"/>
        <v>0</v>
      </c>
      <c r="T160" s="293">
        <f t="shared" si="119"/>
        <v>0</v>
      </c>
      <c r="U160" s="293">
        <f t="shared" si="119"/>
        <v>0</v>
      </c>
      <c r="V160" s="293">
        <f t="shared" si="119"/>
        <v>0</v>
      </c>
      <c r="W160" s="293">
        <f t="shared" si="119"/>
        <v>0</v>
      </c>
      <c r="X160" s="293">
        <f t="shared" si="119"/>
        <v>0</v>
      </c>
      <c r="Y160" s="293">
        <f t="shared" si="119"/>
        <v>0</v>
      </c>
      <c r="Z160" s="293">
        <f t="shared" si="119"/>
        <v>0</v>
      </c>
    </row>
    <row r="161" spans="1:26">
      <c r="B161" s="254" t="s">
        <v>433</v>
      </c>
      <c r="E161" s="270">
        <f>IFERROR(E160/E246,"")</f>
        <v>0</v>
      </c>
      <c r="F161" s="270">
        <f t="shared" ref="F161" si="120">IFERROR(F160/F246,"")</f>
        <v>0</v>
      </c>
      <c r="G161" s="258">
        <f>IFERROR(G160/G246,"")</f>
        <v>0</v>
      </c>
      <c r="H161" s="279">
        <v>0</v>
      </c>
      <c r="I161" s="279">
        <v>0</v>
      </c>
      <c r="J161" s="279">
        <v>0</v>
      </c>
      <c r="K161" s="279">
        <v>0</v>
      </c>
      <c r="L161" s="279">
        <v>0</v>
      </c>
      <c r="M161" s="279">
        <v>0</v>
      </c>
      <c r="N161" s="279">
        <v>0</v>
      </c>
      <c r="O161" s="279">
        <v>0</v>
      </c>
      <c r="P161" s="279">
        <v>0</v>
      </c>
      <c r="Q161" s="279">
        <v>0</v>
      </c>
      <c r="R161" s="279">
        <v>0</v>
      </c>
      <c r="S161" s="279">
        <v>0</v>
      </c>
      <c r="T161" s="279">
        <v>0</v>
      </c>
      <c r="U161" s="279">
        <v>0</v>
      </c>
      <c r="V161" s="279">
        <v>0</v>
      </c>
      <c r="W161" s="279">
        <v>0</v>
      </c>
      <c r="X161" s="279">
        <v>0</v>
      </c>
      <c r="Y161" s="279">
        <v>0</v>
      </c>
      <c r="Z161" s="279">
        <v>0</v>
      </c>
    </row>
    <row r="162" spans="1:26" ht="3.75" customHeight="1">
      <c r="B162" s="254"/>
      <c r="E162" s="270"/>
      <c r="F162" s="270"/>
      <c r="G162" s="258"/>
      <c r="H162" s="304"/>
      <c r="I162" s="304"/>
      <c r="J162" s="304"/>
      <c r="K162" s="304"/>
      <c r="L162" s="304"/>
      <c r="M162" s="304"/>
      <c r="N162" s="304"/>
      <c r="O162" s="304"/>
      <c r="P162" s="304"/>
      <c r="Q162" s="304"/>
      <c r="R162" s="304"/>
      <c r="S162" s="304"/>
      <c r="T162" s="304"/>
      <c r="U162" s="304"/>
      <c r="V162" s="304"/>
      <c r="W162" s="304"/>
      <c r="X162" s="304"/>
      <c r="Y162" s="304"/>
      <c r="Z162" s="304"/>
    </row>
    <row r="163" spans="1:26">
      <c r="B163" s="353" t="s">
        <v>434</v>
      </c>
      <c r="C163" s="353"/>
      <c r="D163" s="353"/>
      <c r="E163" s="354">
        <f>+_xlfn.XLOOKUP($B163,Inputs!$B:$B,Inputs!O:O)</f>
        <v>2001</v>
      </c>
      <c r="F163" s="354">
        <f>+_xlfn.XLOOKUP($B163,Inputs!$B:$B,Inputs!P:P)</f>
        <v>-193</v>
      </c>
      <c r="G163" s="355">
        <f>+_xlfn.XLOOKUP($B163,Inputs!$B:$B,Inputs!Q:Q)</f>
        <v>238</v>
      </c>
      <c r="H163" s="357">
        <f t="shared" ref="H163:Z163" si="121">IFERROR(AVERAGE(E163:G163)*(1+H31),"")</f>
        <v>1091.2</v>
      </c>
      <c r="I163" s="357">
        <f t="shared" si="121"/>
        <v>605.97333333333336</v>
      </c>
      <c r="J163" s="357">
        <f t="shared" si="121"/>
        <v>967.5866666666667</v>
      </c>
      <c r="K163" s="357">
        <f t="shared" si="121"/>
        <v>1332.38</v>
      </c>
      <c r="L163" s="357">
        <f t="shared" si="121"/>
        <v>1452.97</v>
      </c>
      <c r="M163" s="357">
        <f t="shared" si="121"/>
        <v>1751.3704444444443</v>
      </c>
      <c r="N163" s="357">
        <f t="shared" si="121"/>
        <v>2117.1362074074077</v>
      </c>
      <c r="O163" s="357">
        <f t="shared" si="121"/>
        <v>2483.3557708641974</v>
      </c>
      <c r="P163" s="357">
        <f t="shared" si="121"/>
        <v>2752.4737165102879</v>
      </c>
      <c r="Q163" s="357">
        <f t="shared" si="121"/>
        <v>3186.2851344054875</v>
      </c>
      <c r="R163" s="357">
        <f t="shared" si="121"/>
        <v>3649.5830027713214</v>
      </c>
      <c r="S163" s="357">
        <f t="shared" si="121"/>
        <v>3995.1424390362904</v>
      </c>
      <c r="T163" s="357">
        <f t="shared" si="121"/>
        <v>4512.9210734221242</v>
      </c>
      <c r="U163" s="357">
        <f t="shared" si="121"/>
        <v>5065.6860480123896</v>
      </c>
      <c r="V163" s="357">
        <f t="shared" si="121"/>
        <v>5655.7289835295023</v>
      </c>
      <c r="W163" s="357">
        <f t="shared" si="121"/>
        <v>6347.6400437350057</v>
      </c>
      <c r="X163" s="357">
        <f t="shared" si="121"/>
        <v>6827.6220301107587</v>
      </c>
      <c r="Y163" s="357">
        <f t="shared" si="121"/>
        <v>7532.3964229501053</v>
      </c>
      <c r="Z163" s="357">
        <f t="shared" si="121"/>
        <v>8283.0633987183483</v>
      </c>
    </row>
    <row r="164" spans="1:26" ht="5.25" customHeight="1">
      <c r="E164" s="310"/>
      <c r="F164" s="310"/>
      <c r="G164" s="246"/>
      <c r="H164" s="293"/>
      <c r="I164" s="293"/>
      <c r="J164" s="293"/>
      <c r="K164" s="293"/>
      <c r="L164" s="293"/>
      <c r="M164" s="293"/>
      <c r="N164" s="293"/>
      <c r="O164" s="293"/>
      <c r="P164" s="293"/>
      <c r="Q164" s="293"/>
      <c r="R164" s="293"/>
      <c r="S164" s="293"/>
      <c r="T164" s="293"/>
      <c r="U164" s="293"/>
      <c r="V164" s="293"/>
      <c r="W164" s="293"/>
      <c r="X164" s="293"/>
      <c r="Y164" s="293"/>
      <c r="Z164" s="293"/>
    </row>
    <row r="165" spans="1:26" ht="15.75">
      <c r="B165" s="129" t="s">
        <v>285</v>
      </c>
      <c r="C165" s="129"/>
      <c r="D165" s="129"/>
      <c r="E165" s="315">
        <f>+_xlfn.XLOOKUP($B165,Inputs!$B:$B,Inputs!O:O)</f>
        <v>1096</v>
      </c>
      <c r="F165" s="315">
        <f>+_xlfn.XLOOKUP($B165,Inputs!$B:$B,Inputs!P:P)</f>
        <v>1761</v>
      </c>
      <c r="G165" s="316">
        <f>+_xlfn.XLOOKUP($B165,Inputs!$B:$B,Inputs!Q:Q)</f>
        <v>41687</v>
      </c>
      <c r="H165" s="320">
        <f ca="1">IFERROR(+H149+H152+H155+H158+H160+H163,"")</f>
        <v>246470.25900000002</v>
      </c>
      <c r="I165" s="320">
        <f t="shared" ref="I165:P165" ca="1" si="122">IFERROR(+I149+I152+I155+I158+I160+I163,"")</f>
        <v>605.97333333333336</v>
      </c>
      <c r="J165" s="320">
        <f t="shared" ca="1" si="122"/>
        <v>292488.80199444707</v>
      </c>
      <c r="K165" s="320">
        <f t="shared" ca="1" si="122"/>
        <v>81084.090272250294</v>
      </c>
      <c r="L165" s="320">
        <f t="shared" ca="1" si="122"/>
        <v>390016.68629105616</v>
      </c>
      <c r="M165" s="320">
        <f t="shared" ca="1" si="122"/>
        <v>185041.71942583242</v>
      </c>
      <c r="N165" s="320">
        <f t="shared" ca="1" si="122"/>
        <v>458314.67027569492</v>
      </c>
      <c r="O165" s="320">
        <f t="shared" ca="1" si="122"/>
        <v>237058.97518424128</v>
      </c>
      <c r="P165" s="320">
        <f t="shared" ca="1" si="122"/>
        <v>530988.90417288349</v>
      </c>
      <c r="Q165" s="320">
        <f t="shared" ref="Q165:Z165" ca="1" si="123">IFERROR(+Q149+Q152+Q155+Q158+Q160+Q163,"")</f>
        <v>211254.57673075283</v>
      </c>
      <c r="R165" s="320">
        <f t="shared" ca="1" si="123"/>
        <v>554539.96736571682</v>
      </c>
      <c r="S165" s="320">
        <f t="shared" ca="1" si="123"/>
        <v>11597.953819840341</v>
      </c>
      <c r="T165" s="320">
        <f t="shared" ca="1" si="123"/>
        <v>493068.82530832634</v>
      </c>
      <c r="U165" s="320">
        <f t="shared" ca="1" si="123"/>
        <v>5065.6860480123896</v>
      </c>
      <c r="V165" s="320">
        <f t="shared" ca="1" si="123"/>
        <v>139867.89403933799</v>
      </c>
      <c r="W165" s="320">
        <f t="shared" ca="1" si="123"/>
        <v>6347.6400437350057</v>
      </c>
      <c r="X165" s="320">
        <f ca="1">IFERROR(+X149+X152+X155+X158+X160+X163,"")</f>
        <v>6827.6220301107587</v>
      </c>
      <c r="Y165" s="320">
        <f t="shared" ca="1" si="123"/>
        <v>7532.3964229501053</v>
      </c>
      <c r="Z165" s="320">
        <f t="shared" ca="1" si="123"/>
        <v>8283.0633987183483</v>
      </c>
    </row>
    <row r="166" spans="1:26" ht="3.75" customHeight="1">
      <c r="B166" s="254"/>
      <c r="E166" s="270"/>
      <c r="F166" s="270"/>
      <c r="G166" s="258"/>
      <c r="H166" s="304"/>
      <c r="I166" s="304"/>
      <c r="J166" s="304"/>
      <c r="K166" s="304"/>
      <c r="L166" s="304"/>
      <c r="M166" s="304"/>
      <c r="N166" s="304"/>
      <c r="O166" s="304"/>
      <c r="P166" s="304"/>
      <c r="Q166" s="304"/>
      <c r="R166" s="304"/>
      <c r="S166" s="304"/>
      <c r="T166" s="304"/>
      <c r="U166" s="304"/>
      <c r="V166" s="304"/>
      <c r="W166" s="304"/>
      <c r="X166" s="304"/>
      <c r="Y166" s="304"/>
      <c r="Z166" s="304"/>
    </row>
    <row r="167" spans="1:26" ht="15.75">
      <c r="B167" s="460" t="s">
        <v>286</v>
      </c>
      <c r="C167" s="311"/>
      <c r="D167" s="311"/>
      <c r="E167" s="317">
        <f>+_xlfn.XLOOKUP($B167,Inputs!$B:$B,Inputs!O:O)</f>
        <v>-352658</v>
      </c>
      <c r="F167" s="317">
        <f>+_xlfn.XLOOKUP($B167,Inputs!$B:$B,Inputs!P:P)</f>
        <v>-8286</v>
      </c>
      <c r="G167" s="318">
        <f>+_xlfn.XLOOKUP($B167,Inputs!$B:$B,Inputs!Q:Q)</f>
        <v>18759</v>
      </c>
      <c r="H167" s="319">
        <f t="shared" ref="H167:Z167" ca="1" si="124">IFERROR(+H133+H147+H165,"")</f>
        <v>-285436.3869948113</v>
      </c>
      <c r="I167" s="319">
        <f t="shared" ca="1" si="124"/>
        <v>-508608.95004778041</v>
      </c>
      <c r="J167" s="319">
        <f t="shared" ca="1" si="124"/>
        <v>-250225.8529322503</v>
      </c>
      <c r="K167" s="319">
        <f t="shared" ca="1" si="124"/>
        <v>-763333.95978105604</v>
      </c>
      <c r="L167" s="319">
        <f t="shared" ca="1" si="124"/>
        <v>-564456.40941638802</v>
      </c>
      <c r="M167" s="319">
        <f t="shared" ca="1" si="124"/>
        <v>-888522.40914128744</v>
      </c>
      <c r="N167" s="319">
        <f t="shared" ca="1" si="124"/>
        <v>-789097.50294577703</v>
      </c>
      <c r="O167" s="319">
        <f t="shared" ca="1" si="124"/>
        <v>-1166642.4126752261</v>
      </c>
      <c r="P167" s="319">
        <f t="shared" ca="1" si="124"/>
        <v>-912344.47928685683</v>
      </c>
      <c r="Q167" s="319">
        <f t="shared" ca="1" si="124"/>
        <v>-1373012.1408543759</v>
      </c>
      <c r="R167" s="319">
        <f t="shared" ca="1" si="124"/>
        <v>-945684.51282114745</v>
      </c>
      <c r="S167" s="319">
        <f t="shared" ca="1" si="124"/>
        <v>-1515422.423244189</v>
      </c>
      <c r="T167" s="319">
        <f t="shared" ca="1" si="124"/>
        <v>-995191.657107234</v>
      </c>
      <c r="U167" s="319">
        <f t="shared" ca="1" si="124"/>
        <v>-1436806.9056843093</v>
      </c>
      <c r="V167" s="319">
        <f t="shared" ca="1" si="124"/>
        <v>-1261914.0562216106</v>
      </c>
      <c r="W167" s="319">
        <f t="shared" ca="1" si="124"/>
        <v>-1331790.0167086404</v>
      </c>
      <c r="X167" s="319">
        <f t="shared" ca="1" si="124"/>
        <v>-1193953.2333646112</v>
      </c>
      <c r="Y167" s="319">
        <f t="shared" ca="1" si="124"/>
        <v>-1008512.8739864551</v>
      </c>
      <c r="Z167" s="319">
        <f t="shared" ca="1" si="124"/>
        <v>-798539.04735952988</v>
      </c>
    </row>
    <row r="168" spans="1:26">
      <c r="B168" s="254"/>
      <c r="E168" s="294"/>
      <c r="F168" s="270"/>
      <c r="G168" s="258"/>
      <c r="H168" s="304"/>
      <c r="I168" s="304"/>
      <c r="J168" s="304"/>
      <c r="K168" s="304"/>
      <c r="L168" s="304"/>
      <c r="M168" s="304"/>
      <c r="N168" s="304"/>
      <c r="O168" s="304"/>
      <c r="P168" s="304"/>
      <c r="Q168" s="304"/>
      <c r="R168" s="304"/>
      <c r="S168" s="304"/>
      <c r="T168" s="304"/>
      <c r="U168" s="304"/>
      <c r="V168" s="304"/>
      <c r="W168" s="304"/>
      <c r="X168" s="304"/>
      <c r="Y168" s="304"/>
      <c r="Z168" s="304"/>
    </row>
    <row r="169" spans="1:26" ht="3.75" customHeight="1">
      <c r="G169" s="127"/>
      <c r="H169" s="110"/>
      <c r="I169" s="110"/>
      <c r="J169" s="110"/>
      <c r="K169" s="110"/>
      <c r="L169" s="110"/>
      <c r="O169" s="110"/>
      <c r="P169" s="110"/>
      <c r="Q169" s="110"/>
      <c r="R169" s="110"/>
      <c r="S169" s="110"/>
      <c r="T169" s="110"/>
      <c r="U169" s="110"/>
      <c r="V169" s="110"/>
      <c r="W169" s="110"/>
      <c r="X169" s="110"/>
      <c r="Y169" s="110"/>
      <c r="Z169" s="110"/>
    </row>
    <row r="170" spans="1:26" ht="15.75">
      <c r="A170" s="105" t="s">
        <v>349</v>
      </c>
      <c r="B170" s="43" t="s">
        <v>435</v>
      </c>
      <c r="C170" s="43"/>
      <c r="D170" s="43"/>
      <c r="E170" s="116">
        <f t="shared" ref="E170:Z170" si="125">E28</f>
        <v>2022</v>
      </c>
      <c r="F170" s="116">
        <f t="shared" si="125"/>
        <v>2023</v>
      </c>
      <c r="G170" s="143">
        <f t="shared" si="125"/>
        <v>2024</v>
      </c>
      <c r="H170" s="88">
        <f t="shared" si="125"/>
        <v>2025</v>
      </c>
      <c r="I170" s="88">
        <f t="shared" si="125"/>
        <v>2026</v>
      </c>
      <c r="J170" s="88">
        <f t="shared" si="125"/>
        <v>2027</v>
      </c>
      <c r="K170" s="88">
        <f t="shared" si="125"/>
        <v>2028</v>
      </c>
      <c r="L170" s="88">
        <f t="shared" si="125"/>
        <v>2029</v>
      </c>
      <c r="M170" s="88">
        <f t="shared" si="125"/>
        <v>2030</v>
      </c>
      <c r="N170" s="88">
        <f t="shared" si="125"/>
        <v>2031</v>
      </c>
      <c r="O170" s="88">
        <f t="shared" si="125"/>
        <v>2032</v>
      </c>
      <c r="P170" s="88">
        <f t="shared" si="125"/>
        <v>2033</v>
      </c>
      <c r="Q170" s="88">
        <f t="shared" si="125"/>
        <v>2034</v>
      </c>
      <c r="R170" s="88">
        <f t="shared" si="125"/>
        <v>2035</v>
      </c>
      <c r="S170" s="88">
        <f t="shared" si="125"/>
        <v>2036</v>
      </c>
      <c r="T170" s="88">
        <f t="shared" si="125"/>
        <v>2037</v>
      </c>
      <c r="U170" s="88">
        <f t="shared" si="125"/>
        <v>2038</v>
      </c>
      <c r="V170" s="88">
        <f t="shared" si="125"/>
        <v>2039</v>
      </c>
      <c r="W170" s="88">
        <f t="shared" si="125"/>
        <v>2040</v>
      </c>
      <c r="X170" s="88">
        <f t="shared" si="125"/>
        <v>2041</v>
      </c>
      <c r="Y170" s="88">
        <f t="shared" si="125"/>
        <v>2042</v>
      </c>
      <c r="Z170" s="88">
        <f t="shared" si="125"/>
        <v>2043</v>
      </c>
    </row>
    <row r="171" spans="1:26" ht="3.95" customHeight="1">
      <c r="B171" s="44"/>
      <c r="C171" s="44"/>
      <c r="D171" s="44"/>
      <c r="E171" s="44"/>
      <c r="F171" s="44"/>
      <c r="G171" s="145"/>
      <c r="H171" s="44"/>
      <c r="I171" s="44"/>
      <c r="J171" s="44"/>
      <c r="K171" s="44"/>
      <c r="L171" s="44"/>
      <c r="M171" s="44"/>
      <c r="N171" s="44"/>
      <c r="O171" s="44"/>
      <c r="P171" s="44"/>
      <c r="Q171" s="44"/>
      <c r="R171" s="44"/>
      <c r="S171" s="44"/>
      <c r="T171" s="44"/>
      <c r="U171" s="44"/>
      <c r="V171" s="44"/>
      <c r="W171" s="44"/>
      <c r="X171" s="44"/>
      <c r="Y171" s="44"/>
      <c r="Z171" s="44"/>
    </row>
    <row r="172" spans="1:26">
      <c r="B172" s="105" t="s">
        <v>127</v>
      </c>
      <c r="E172" s="131">
        <f>$E$30</f>
        <v>11131</v>
      </c>
      <c r="F172" s="131">
        <f>$F$30</f>
        <v>22042</v>
      </c>
      <c r="G172" s="155">
        <f>$G$30</f>
        <v>43073</v>
      </c>
      <c r="H172" s="131">
        <f ca="1">IFERROR(G172*(1+H173),"")</f>
        <v>68916.800000000003</v>
      </c>
      <c r="I172" s="131">
        <f t="shared" ref="I172:P172" ca="1" si="126">IFERROR(H172*(1+I173),"")</f>
        <v>110266.88</v>
      </c>
      <c r="J172" s="131">
        <f t="shared" ca="1" si="126"/>
        <v>165400.32000000001</v>
      </c>
      <c r="K172" s="131">
        <f t="shared" ca="1" si="126"/>
        <v>248100.48000000001</v>
      </c>
      <c r="L172" s="131">
        <f t="shared" ca="1" si="126"/>
        <v>372150.72000000003</v>
      </c>
      <c r="M172" s="131">
        <f t="shared" ca="1" si="126"/>
        <v>521011.00800000003</v>
      </c>
      <c r="N172" s="131">
        <f t="shared" ca="1" si="126"/>
        <v>729415.41119999997</v>
      </c>
      <c r="O172" s="131">
        <f t="shared" ca="1" si="126"/>
        <v>1021181.5756799999</v>
      </c>
      <c r="P172" s="131">
        <f t="shared" ca="1" si="126"/>
        <v>1327536.0483839998</v>
      </c>
      <c r="Q172" s="131">
        <f t="shared" ref="Q172:Z172" ca="1" si="127">IFERROR(P172*(1+Q173),"")</f>
        <v>1725796.8628991998</v>
      </c>
      <c r="R172" s="131">
        <f t="shared" ca="1" si="127"/>
        <v>2243535.9217689601</v>
      </c>
      <c r="S172" s="131">
        <f t="shared" ca="1" si="127"/>
        <v>2916596.6982996482</v>
      </c>
      <c r="T172" s="131">
        <f t="shared" ca="1" si="127"/>
        <v>3791575.7077895426</v>
      </c>
      <c r="U172" s="131">
        <f t="shared" ca="1" si="127"/>
        <v>4929048.4201264055</v>
      </c>
      <c r="V172" s="131">
        <f t="shared" ca="1" si="127"/>
        <v>6407762.9461643277</v>
      </c>
      <c r="W172" s="131">
        <f t="shared" ca="1" si="127"/>
        <v>8330091.8300136263</v>
      </c>
      <c r="X172" s="131">
        <f t="shared" ca="1" si="127"/>
        <v>10829119.379017714</v>
      </c>
      <c r="Y172" s="131">
        <f t="shared" ca="1" si="127"/>
        <v>14077855.192723028</v>
      </c>
      <c r="Z172" s="131">
        <f t="shared" ca="1" si="127"/>
        <v>18301211.750539936</v>
      </c>
    </row>
    <row r="173" spans="1:26" hidden="1">
      <c r="B173" s="254" t="s">
        <v>378</v>
      </c>
      <c r="C173" s="254"/>
      <c r="D173" s="254"/>
      <c r="E173" s="280">
        <f>$E$31</f>
        <v>4.3030014292520251</v>
      </c>
      <c r="F173" s="280">
        <f>$F$31</f>
        <v>0.98023537867217669</v>
      </c>
      <c r="G173" s="281">
        <f>$G$31</f>
        <v>0.9541330187823247</v>
      </c>
      <c r="H173" s="280">
        <f ca="1">+OFFSET($H$173,$C$7,0)</f>
        <v>0.6</v>
      </c>
      <c r="I173" s="280">
        <f ca="1">+OFFSET($I$173,$C$7,0)</f>
        <v>0.6</v>
      </c>
      <c r="J173" s="280">
        <f ca="1">+OFFSET($J$173,$C$7,0)</f>
        <v>0.5</v>
      </c>
      <c r="K173" s="280">
        <f ca="1">+OFFSET($K$173,$C$7,0)</f>
        <v>0.5</v>
      </c>
      <c r="L173" s="280">
        <f ca="1">+OFFSET($L$173,$C$7,0)</f>
        <v>0.5</v>
      </c>
      <c r="M173" s="280">
        <f ca="1">+OFFSET($M$173,$C$7,0)</f>
        <v>0.4</v>
      </c>
      <c r="N173" s="280">
        <f ca="1">+OFFSET($N$173,$C$7,0)</f>
        <v>0.4</v>
      </c>
      <c r="O173" s="280">
        <f ca="1">+OFFSET($O$173,$C$7,0)</f>
        <v>0.4</v>
      </c>
      <c r="P173" s="280">
        <f ca="1">+OFFSET($P$173,$C$7,0)</f>
        <v>0.3</v>
      </c>
      <c r="Q173" s="280">
        <f t="shared" ref="Q173:Z173" ca="1" si="128">+OFFSET($Q$173,$C$7,0)</f>
        <v>0.3</v>
      </c>
      <c r="R173" s="280">
        <f t="shared" ca="1" si="128"/>
        <v>0.3</v>
      </c>
      <c r="S173" s="280">
        <f t="shared" ca="1" si="128"/>
        <v>0.3</v>
      </c>
      <c r="T173" s="280">
        <f t="shared" ca="1" si="128"/>
        <v>0.3</v>
      </c>
      <c r="U173" s="280">
        <f t="shared" ca="1" si="128"/>
        <v>0.3</v>
      </c>
      <c r="V173" s="280">
        <f t="shared" ca="1" si="128"/>
        <v>0.3</v>
      </c>
      <c r="W173" s="280">
        <f t="shared" ca="1" si="128"/>
        <v>0.3</v>
      </c>
      <c r="X173" s="280">
        <f t="shared" ca="1" si="128"/>
        <v>0.3</v>
      </c>
      <c r="Y173" s="280">
        <f t="shared" ca="1" si="128"/>
        <v>0.3</v>
      </c>
      <c r="Z173" s="280">
        <f t="shared" ca="1" si="128"/>
        <v>0.3</v>
      </c>
    </row>
    <row r="174" spans="1:26" hidden="1">
      <c r="B174" s="253" t="s">
        <v>352</v>
      </c>
      <c r="G174" s="138"/>
      <c r="H174" s="570">
        <f>IFERROR(+H175+$F$7,"")</f>
        <v>0.57999999999999996</v>
      </c>
      <c r="I174" s="570">
        <f t="shared" ref="I174:Z174" si="129">IFERROR(+I175+$F$7,"")</f>
        <v>0.57999999999999996</v>
      </c>
      <c r="J174" s="570">
        <f t="shared" si="129"/>
        <v>0.48</v>
      </c>
      <c r="K174" s="570">
        <f t="shared" si="129"/>
        <v>0.48</v>
      </c>
      <c r="L174" s="570">
        <f t="shared" si="129"/>
        <v>0.48</v>
      </c>
      <c r="M174" s="570">
        <f t="shared" si="129"/>
        <v>0.38</v>
      </c>
      <c r="N174" s="570">
        <f t="shared" si="129"/>
        <v>0.38</v>
      </c>
      <c r="O174" s="570">
        <f t="shared" si="129"/>
        <v>0.38</v>
      </c>
      <c r="P174" s="570">
        <f t="shared" si="129"/>
        <v>0.27999999999999997</v>
      </c>
      <c r="Q174" s="570">
        <f t="shared" si="129"/>
        <v>0.27999999999999997</v>
      </c>
      <c r="R174" s="570">
        <f t="shared" si="129"/>
        <v>0.27999999999999997</v>
      </c>
      <c r="S174" s="570">
        <f t="shared" si="129"/>
        <v>0.27999999999999997</v>
      </c>
      <c r="T174" s="570">
        <f t="shared" si="129"/>
        <v>0.27999999999999997</v>
      </c>
      <c r="U174" s="570">
        <f t="shared" si="129"/>
        <v>0.27999999999999997</v>
      </c>
      <c r="V174" s="570">
        <f t="shared" si="129"/>
        <v>0.27999999999999997</v>
      </c>
      <c r="W174" s="570">
        <f t="shared" si="129"/>
        <v>0.27999999999999997</v>
      </c>
      <c r="X174" s="570">
        <f t="shared" si="129"/>
        <v>0.27999999999999997</v>
      </c>
      <c r="Y174" s="570">
        <f t="shared" si="129"/>
        <v>0.27999999999999997</v>
      </c>
      <c r="Z174" s="570">
        <f t="shared" si="129"/>
        <v>0.27999999999999997</v>
      </c>
    </row>
    <row r="175" spans="1:26" hidden="1">
      <c r="B175" s="253" t="s">
        <v>353</v>
      </c>
      <c r="G175" s="138"/>
      <c r="H175" s="571">
        <f>$H$31</f>
        <v>0.6</v>
      </c>
      <c r="I175" s="571">
        <f>$I$31</f>
        <v>0.6</v>
      </c>
      <c r="J175" s="571">
        <f>$J$31</f>
        <v>0.5</v>
      </c>
      <c r="K175" s="571">
        <f>$K$31</f>
        <v>0.5</v>
      </c>
      <c r="L175" s="571">
        <f>$L$31</f>
        <v>0.5</v>
      </c>
      <c r="M175" s="571">
        <f>$M$31</f>
        <v>0.4</v>
      </c>
      <c r="N175" s="571">
        <f>$N$31</f>
        <v>0.4</v>
      </c>
      <c r="O175" s="572">
        <f>$O$31</f>
        <v>0.4</v>
      </c>
      <c r="P175" s="571">
        <f>$P$31</f>
        <v>0.3</v>
      </c>
      <c r="Q175" s="571">
        <f t="shared" ref="Q175:Z175" si="130">$Q$31</f>
        <v>0.3</v>
      </c>
      <c r="R175" s="571">
        <f t="shared" si="130"/>
        <v>0.3</v>
      </c>
      <c r="S175" s="571">
        <f t="shared" si="130"/>
        <v>0.3</v>
      </c>
      <c r="T175" s="571">
        <f t="shared" si="130"/>
        <v>0.3</v>
      </c>
      <c r="U175" s="571">
        <f t="shared" si="130"/>
        <v>0.3</v>
      </c>
      <c r="V175" s="571">
        <f t="shared" si="130"/>
        <v>0.3</v>
      </c>
      <c r="W175" s="571">
        <f t="shared" si="130"/>
        <v>0.3</v>
      </c>
      <c r="X175" s="571">
        <f t="shared" si="130"/>
        <v>0.3</v>
      </c>
      <c r="Y175" s="571">
        <f t="shared" si="130"/>
        <v>0.3</v>
      </c>
      <c r="Z175" s="571">
        <f t="shared" si="130"/>
        <v>0.3</v>
      </c>
    </row>
    <row r="176" spans="1:26" hidden="1">
      <c r="B176" s="253" t="s">
        <v>354</v>
      </c>
      <c r="G176" s="138"/>
      <c r="H176" s="573">
        <f>IFERROR(+H175+$L$7,"")</f>
        <v>0.62</v>
      </c>
      <c r="I176" s="573">
        <f t="shared" ref="I176:Z176" si="131">IFERROR(+I175+$L$7,"")</f>
        <v>0.62</v>
      </c>
      <c r="J176" s="573">
        <f t="shared" si="131"/>
        <v>0.52</v>
      </c>
      <c r="K176" s="573">
        <f t="shared" si="131"/>
        <v>0.52</v>
      </c>
      <c r="L176" s="573">
        <f t="shared" si="131"/>
        <v>0.52</v>
      </c>
      <c r="M176" s="573">
        <f t="shared" si="131"/>
        <v>0.42000000000000004</v>
      </c>
      <c r="N176" s="573">
        <f t="shared" si="131"/>
        <v>0.42000000000000004</v>
      </c>
      <c r="O176" s="573">
        <f t="shared" si="131"/>
        <v>0.42000000000000004</v>
      </c>
      <c r="P176" s="573">
        <f t="shared" si="131"/>
        <v>0.32</v>
      </c>
      <c r="Q176" s="573">
        <f t="shared" si="131"/>
        <v>0.32</v>
      </c>
      <c r="R176" s="573">
        <f t="shared" si="131"/>
        <v>0.32</v>
      </c>
      <c r="S176" s="573">
        <f t="shared" si="131"/>
        <v>0.32</v>
      </c>
      <c r="T176" s="573">
        <f t="shared" si="131"/>
        <v>0.32</v>
      </c>
      <c r="U176" s="573">
        <f t="shared" si="131"/>
        <v>0.32</v>
      </c>
      <c r="V176" s="573">
        <f t="shared" si="131"/>
        <v>0.32</v>
      </c>
      <c r="W176" s="573">
        <f t="shared" si="131"/>
        <v>0.32</v>
      </c>
      <c r="X176" s="573">
        <f t="shared" si="131"/>
        <v>0.32</v>
      </c>
      <c r="Y176" s="573">
        <f t="shared" si="131"/>
        <v>0.32</v>
      </c>
      <c r="Z176" s="573">
        <f t="shared" si="131"/>
        <v>0.32</v>
      </c>
    </row>
    <row r="177" spans="2:38" ht="3.75" hidden="1" customHeight="1">
      <c r="G177" s="138"/>
    </row>
    <row r="178" spans="2:38" hidden="1">
      <c r="B178" s="105" t="s">
        <v>362</v>
      </c>
      <c r="E178" s="131">
        <f t="shared" ref="E178:G179" si="132">+E60</f>
        <v>-85746</v>
      </c>
      <c r="F178" s="131">
        <f t="shared" si="132"/>
        <v>-157754</v>
      </c>
      <c r="G178" s="155">
        <f t="shared" si="132"/>
        <v>-232455</v>
      </c>
      <c r="H178" s="156">
        <f ca="1">IFERROR(H179*H172,"")</f>
        <v>-284339.7642865043</v>
      </c>
      <c r="I178" s="156">
        <f t="shared" ref="I178:P178" ca="1" si="133">IFERROR(I179*I172,"")</f>
        <v>-348569.32827352494</v>
      </c>
      <c r="J178" s="156">
        <f t="shared" ca="1" si="133"/>
        <v>-421384.74295409478</v>
      </c>
      <c r="K178" s="156">
        <f t="shared" ca="1" si="133"/>
        <v>-506550.57081619487</v>
      </c>
      <c r="L178" s="156">
        <f t="shared" ca="1" si="133"/>
        <v>-566605.5606781384</v>
      </c>
      <c r="M178" s="156">
        <f t="shared" ca="1" si="133"/>
        <v>-610056.12349045067</v>
      </c>
      <c r="N178" s="156">
        <f t="shared" ca="1" si="133"/>
        <v>-614102.6762904271</v>
      </c>
      <c r="O178" s="156">
        <f t="shared" ca="1" si="133"/>
        <v>-573108.83374454034</v>
      </c>
      <c r="P178" s="156">
        <f t="shared" ca="1" si="133"/>
        <v>-525957.67322540132</v>
      </c>
      <c r="Q178" s="156">
        <f t="shared" ref="Q178:Z178" ca="1" si="134">IFERROR(Q179*Q172,"")</f>
        <v>-436747.97516547493</v>
      </c>
      <c r="R178" s="156">
        <f t="shared" ca="1" si="134"/>
        <v>-304689.34572644805</v>
      </c>
      <c r="S178" s="156">
        <f t="shared" ca="1" si="134"/>
        <v>-136170.62670506374</v>
      </c>
      <c r="T178" s="156">
        <f t="shared" ca="1" si="134"/>
        <v>105878.36078052169</v>
      </c>
      <c r="U178" s="156">
        <f t="shared" ca="1" si="134"/>
        <v>475984.65827719658</v>
      </c>
      <c r="V178" s="156">
        <f t="shared" ca="1" si="134"/>
        <v>983367.24099790619</v>
      </c>
      <c r="W178" s="156">
        <f t="shared" ca="1" si="134"/>
        <v>1670121.3198165693</v>
      </c>
      <c r="X178" s="156">
        <f t="shared" ca="1" si="134"/>
        <v>2477204.489294888</v>
      </c>
      <c r="Y178" s="156">
        <f t="shared" ca="1" si="134"/>
        <v>3561647.3365821</v>
      </c>
      <c r="Z178" s="156">
        <f t="shared" ca="1" si="134"/>
        <v>5011141.0921881478</v>
      </c>
    </row>
    <row r="179" spans="2:38" hidden="1">
      <c r="B179" s="254" t="s">
        <v>379</v>
      </c>
      <c r="C179" s="254"/>
      <c r="D179" s="254"/>
      <c r="E179" s="280">
        <f t="shared" si="132"/>
        <v>-7.7033510017069444</v>
      </c>
      <c r="F179" s="280">
        <f t="shared" si="132"/>
        <v>-7.1569730514472374</v>
      </c>
      <c r="G179" s="281">
        <f t="shared" si="132"/>
        <v>-5.3967682771109509</v>
      </c>
      <c r="H179" s="280">
        <f ca="1">OFFSET(H179,$C$8,0)</f>
        <v>-4.1258410762906035</v>
      </c>
      <c r="I179" s="280">
        <f ca="1">+OFFSET(I179,$C$8,0)</f>
        <v>-3.1611425685892711</v>
      </c>
      <c r="J179" s="280">
        <f ca="1">+OFFSET(J179,$C$8,0)</f>
        <v>-2.5476658264874867</v>
      </c>
      <c r="K179" s="280">
        <f ca="1">+OFFSET(K179,$C$8,0)</f>
        <v>-2.0417154002128286</v>
      </c>
      <c r="L179" s="280">
        <f ca="1">+OFFSET(L179,$C$8,0)</f>
        <v>-1.52251636293526</v>
      </c>
      <c r="M179" s="280">
        <f t="shared" ref="M179:P179" ca="1" si="135">+OFFSET(M179,$C$8,0)</f>
        <v>-1.1709083188707803</v>
      </c>
      <c r="N179" s="280">
        <f t="shared" ca="1" si="135"/>
        <v>-0.84191075052847353</v>
      </c>
      <c r="O179" s="280">
        <f t="shared" ca="1" si="135"/>
        <v>-0.56122128267238858</v>
      </c>
      <c r="P179" s="280">
        <f t="shared" ca="1" si="135"/>
        <v>-0.39619087848171491</v>
      </c>
      <c r="Q179" s="280">
        <f t="shared" ref="Q179:Z179" ca="1" si="136">+OFFSET(Q179,$C$8,0)</f>
        <v>-0.25307032626758486</v>
      </c>
      <c r="R179" s="280">
        <f t="shared" ca="1" si="136"/>
        <v>-0.13580765200595038</v>
      </c>
      <c r="S179" s="280">
        <f t="shared" ca="1" si="136"/>
        <v>-4.6688192023412109E-2</v>
      </c>
      <c r="T179" s="280">
        <f t="shared" ca="1" si="136"/>
        <v>2.7924633171111834E-2</v>
      </c>
      <c r="U179" s="280">
        <f t="shared" ca="1" si="136"/>
        <v>9.6567251466559936E-2</v>
      </c>
      <c r="V179" s="280">
        <f t="shared" ca="1" si="136"/>
        <v>0.1534649844664662</v>
      </c>
      <c r="W179" s="280">
        <f t="shared" ca="1" si="136"/>
        <v>0.20049254604841943</v>
      </c>
      <c r="X179" s="280">
        <f t="shared" ca="1" si="136"/>
        <v>0.22875401060724015</v>
      </c>
      <c r="Y179" s="280">
        <f t="shared" ca="1" si="136"/>
        <v>0.25299644639214275</v>
      </c>
      <c r="Z179" s="280">
        <f t="shared" ca="1" si="136"/>
        <v>0.27381471568626081</v>
      </c>
    </row>
    <row r="180" spans="2:38" hidden="1">
      <c r="B180" s="253" t="s">
        <v>352</v>
      </c>
      <c r="G180" s="138"/>
      <c r="H180" s="573">
        <f>IFERROR(H181+$F$8,"")</f>
        <v>-4.1358410762906033</v>
      </c>
      <c r="I180" s="573">
        <f t="shared" ref="I180:Z180" si="137">IFERROR(I181+$F$8,"")</f>
        <v>-3.1711425685892709</v>
      </c>
      <c r="J180" s="573">
        <f t="shared" si="137"/>
        <v>-2.5576658264874865</v>
      </c>
      <c r="K180" s="573">
        <f t="shared" si="137"/>
        <v>-2.0517154002128284</v>
      </c>
      <c r="L180" s="573">
        <f t="shared" si="137"/>
        <v>-1.5325163629352601</v>
      </c>
      <c r="M180" s="573">
        <f t="shared" si="137"/>
        <v>-1.1809083188707803</v>
      </c>
      <c r="N180" s="573">
        <f t="shared" si="137"/>
        <v>-0.85191075052847354</v>
      </c>
      <c r="O180" s="573">
        <f t="shared" si="137"/>
        <v>-0.57122128267238859</v>
      </c>
      <c r="P180" s="573">
        <f t="shared" si="137"/>
        <v>-0.40619087848171492</v>
      </c>
      <c r="Q180" s="573">
        <f t="shared" si="137"/>
        <v>-0.26307032626758486</v>
      </c>
      <c r="R180" s="573">
        <f t="shared" si="137"/>
        <v>-0.14580765200595039</v>
      </c>
      <c r="S180" s="573">
        <f t="shared" si="137"/>
        <v>-5.6688192023412111E-2</v>
      </c>
      <c r="T180" s="573">
        <f t="shared" si="137"/>
        <v>1.7924633171111835E-2</v>
      </c>
      <c r="U180" s="573">
        <f t="shared" si="137"/>
        <v>8.6567251466559941E-2</v>
      </c>
      <c r="V180" s="573">
        <f t="shared" si="137"/>
        <v>0.14346498446646619</v>
      </c>
      <c r="W180" s="573">
        <f t="shared" si="137"/>
        <v>0.19049254604841942</v>
      </c>
      <c r="X180" s="573">
        <f t="shared" si="137"/>
        <v>0.21875401060724015</v>
      </c>
      <c r="Y180" s="573">
        <f t="shared" si="137"/>
        <v>0.24299644639214274</v>
      </c>
      <c r="Z180" s="573">
        <f t="shared" si="137"/>
        <v>0.2638147156862608</v>
      </c>
    </row>
    <row r="181" spans="2:38" hidden="1">
      <c r="B181" s="253" t="s">
        <v>353</v>
      </c>
      <c r="G181" s="138"/>
      <c r="H181" s="571">
        <f t="shared" ref="H181:Z181" si="138">IFERROR(VALUE(H61),"")</f>
        <v>-4.1258410762906035</v>
      </c>
      <c r="I181" s="571">
        <f t="shared" si="138"/>
        <v>-3.1611425685892711</v>
      </c>
      <c r="J181" s="571">
        <f t="shared" si="138"/>
        <v>-2.5476658264874867</v>
      </c>
      <c r="K181" s="571">
        <f t="shared" si="138"/>
        <v>-2.0417154002128286</v>
      </c>
      <c r="L181" s="571">
        <f t="shared" si="138"/>
        <v>-1.52251636293526</v>
      </c>
      <c r="M181" s="571">
        <f t="shared" si="138"/>
        <v>-1.1709083188707803</v>
      </c>
      <c r="N181" s="571">
        <f t="shared" si="138"/>
        <v>-0.84191075052847353</v>
      </c>
      <c r="O181" s="571">
        <f t="shared" si="138"/>
        <v>-0.56122128267238858</v>
      </c>
      <c r="P181" s="571">
        <f t="shared" si="138"/>
        <v>-0.39619087848171491</v>
      </c>
      <c r="Q181" s="571">
        <f t="shared" si="138"/>
        <v>-0.25307032626758486</v>
      </c>
      <c r="R181" s="571">
        <f t="shared" si="138"/>
        <v>-0.13580765200595038</v>
      </c>
      <c r="S181" s="571">
        <f t="shared" si="138"/>
        <v>-4.6688192023412109E-2</v>
      </c>
      <c r="T181" s="571">
        <f t="shared" si="138"/>
        <v>2.7924633171111834E-2</v>
      </c>
      <c r="U181" s="571">
        <f t="shared" si="138"/>
        <v>9.6567251466559936E-2</v>
      </c>
      <c r="V181" s="571">
        <f t="shared" si="138"/>
        <v>0.1534649844664662</v>
      </c>
      <c r="W181" s="571">
        <f t="shared" si="138"/>
        <v>0.20049254604841943</v>
      </c>
      <c r="X181" s="571">
        <f t="shared" si="138"/>
        <v>0.22875401060724015</v>
      </c>
      <c r="Y181" s="571">
        <f t="shared" si="138"/>
        <v>0.25299644639214275</v>
      </c>
      <c r="Z181" s="571">
        <f t="shared" si="138"/>
        <v>0.27381471568626081</v>
      </c>
    </row>
    <row r="182" spans="2:38" hidden="1">
      <c r="B182" s="253" t="s">
        <v>354</v>
      </c>
      <c r="G182" s="138"/>
      <c r="H182" s="573">
        <f>+IFERROR(H181+$L$8,"")</f>
        <v>-4.1158410762906037</v>
      </c>
      <c r="I182" s="573">
        <f t="shared" ref="I182:Z182" si="139">+IFERROR(I181+$L$8,"")</f>
        <v>-3.1511425685892713</v>
      </c>
      <c r="J182" s="573">
        <f t="shared" si="139"/>
        <v>-2.537665826487487</v>
      </c>
      <c r="K182" s="573">
        <f t="shared" si="139"/>
        <v>-2.0317154002128288</v>
      </c>
      <c r="L182" s="573">
        <f t="shared" si="139"/>
        <v>-1.51251636293526</v>
      </c>
      <c r="M182" s="573">
        <f t="shared" si="139"/>
        <v>-1.1609083188707803</v>
      </c>
      <c r="N182" s="573">
        <f t="shared" si="139"/>
        <v>-0.83191075052847352</v>
      </c>
      <c r="O182" s="573">
        <f t="shared" si="139"/>
        <v>-0.55122128267238857</v>
      </c>
      <c r="P182" s="573">
        <f t="shared" si="139"/>
        <v>-0.38619087848171491</v>
      </c>
      <c r="Q182" s="573">
        <f t="shared" si="139"/>
        <v>-0.24307032626758485</v>
      </c>
      <c r="R182" s="573">
        <f t="shared" si="139"/>
        <v>-0.12580765200595037</v>
      </c>
      <c r="S182" s="573">
        <f t="shared" si="139"/>
        <v>-3.6688192023412107E-2</v>
      </c>
      <c r="T182" s="573">
        <f t="shared" si="139"/>
        <v>3.7924633171111832E-2</v>
      </c>
      <c r="U182" s="573">
        <f t="shared" si="139"/>
        <v>0.10656725146655993</v>
      </c>
      <c r="V182" s="573">
        <f t="shared" si="139"/>
        <v>0.16346498446646621</v>
      </c>
      <c r="W182" s="573">
        <f t="shared" si="139"/>
        <v>0.21049254604841944</v>
      </c>
      <c r="X182" s="573">
        <f t="shared" si="139"/>
        <v>0.23875401060724016</v>
      </c>
      <c r="Y182" s="573">
        <f t="shared" si="139"/>
        <v>0.26299644639214276</v>
      </c>
      <c r="Z182" s="573">
        <f t="shared" si="139"/>
        <v>0.28381471568626082</v>
      </c>
    </row>
    <row r="183" spans="2:38" ht="3.75" customHeight="1">
      <c r="G183" s="138"/>
    </row>
    <row r="184" spans="2:38">
      <c r="B184" s="158" t="s">
        <v>358</v>
      </c>
      <c r="C184" s="159"/>
      <c r="D184" s="159"/>
      <c r="E184" s="160">
        <f t="shared" ref="E184:Y184" si="140">+IFERROR(E178*(1-E80),"")</f>
        <v>-85746</v>
      </c>
      <c r="F184" s="160">
        <f t="shared" si="140"/>
        <v>-157754.04800943425</v>
      </c>
      <c r="G184" s="302">
        <f t="shared" si="140"/>
        <v>-232455.04136110173</v>
      </c>
      <c r="H184" s="160">
        <f t="shared" ca="1" si="140"/>
        <v>-224628.41378633841</v>
      </c>
      <c r="I184" s="160">
        <f t="shared" ca="1" si="140"/>
        <v>-275369.76933608472</v>
      </c>
      <c r="J184" s="160">
        <f t="shared" ca="1" si="140"/>
        <v>-332893.94693373487</v>
      </c>
      <c r="K184" s="160">
        <f t="shared" ca="1" si="140"/>
        <v>-400174.95094479399</v>
      </c>
      <c r="L184" s="160">
        <f t="shared" ca="1" si="140"/>
        <v>-447618.39293572935</v>
      </c>
      <c r="M184" s="160">
        <f t="shared" ca="1" si="140"/>
        <v>-481944.33755745605</v>
      </c>
      <c r="N184" s="160">
        <f t="shared" ca="1" si="140"/>
        <v>-485141.11426943744</v>
      </c>
      <c r="O184" s="160">
        <f t="shared" ca="1" si="140"/>
        <v>-452755.97865818691</v>
      </c>
      <c r="P184" s="160">
        <f t="shared" ca="1" si="140"/>
        <v>-415506.56184806704</v>
      </c>
      <c r="Q184" s="160">
        <f t="shared" ca="1" si="140"/>
        <v>-345030.90038072522</v>
      </c>
      <c r="R184" s="160">
        <f t="shared" ca="1" si="140"/>
        <v>-240704.58312389397</v>
      </c>
      <c r="S184" s="160">
        <f t="shared" ca="1" si="140"/>
        <v>-107574.79509700036</v>
      </c>
      <c r="T184" s="160">
        <f t="shared" ca="1" si="140"/>
        <v>83643.905016612145</v>
      </c>
      <c r="U184" s="160">
        <f t="shared" ca="1" si="140"/>
        <v>376027.88003898528</v>
      </c>
      <c r="V184" s="160">
        <f t="shared" ca="1" si="140"/>
        <v>776860.12038834591</v>
      </c>
      <c r="W184" s="160">
        <f t="shared" ca="1" si="140"/>
        <v>1319395.8426550899</v>
      </c>
      <c r="X184" s="160">
        <f t="shared" ca="1" si="140"/>
        <v>1956991.5465429616</v>
      </c>
      <c r="Y184" s="160">
        <f t="shared" ca="1" si="140"/>
        <v>2813701.3958998593</v>
      </c>
      <c r="Z184" s="778">
        <f ca="1">+IFERROR(Z178*(1-Z80),"")</f>
        <v>3958801.4628286371</v>
      </c>
    </row>
    <row r="185" spans="2:38" ht="3.75" customHeight="1">
      <c r="G185" s="138"/>
    </row>
    <row r="186" spans="2:38">
      <c r="B186" s="105" t="s">
        <v>436</v>
      </c>
      <c r="E186" s="131">
        <f t="shared" ref="E186:Z186" si="141">+E124</f>
        <v>5604</v>
      </c>
      <c r="F186" s="131">
        <f t="shared" si="141"/>
        <v>10375</v>
      </c>
      <c r="G186" s="155">
        <f t="shared" si="141"/>
        <v>18654</v>
      </c>
      <c r="H186" s="161">
        <f t="shared" si="141"/>
        <v>21834.814286504286</v>
      </c>
      <c r="I186" s="161">
        <f t="shared" si="141"/>
        <v>31475.283223524959</v>
      </c>
      <c r="J186" s="161">
        <f t="shared" si="141"/>
        <v>47744.802863469769</v>
      </c>
      <c r="K186" s="161">
        <f t="shared" si="141"/>
        <v>66750.502557405765</v>
      </c>
      <c r="L186" s="161">
        <f t="shared" si="141"/>
        <v>94779.189456924985</v>
      </c>
      <c r="M186" s="161">
        <f t="shared" si="141"/>
        <v>128858.63570417673</v>
      </c>
      <c r="N186" s="161">
        <f t="shared" si="141"/>
        <v>172020.46985853932</v>
      </c>
      <c r="O186" s="161">
        <f t="shared" si="141"/>
        <v>223000.07946129324</v>
      </c>
      <c r="P186" s="161">
        <f t="shared" si="141"/>
        <v>289069.15763685445</v>
      </c>
      <c r="Q186" s="161">
        <f t="shared" si="141"/>
        <v>360460.5360560948</v>
      </c>
      <c r="R186" s="161">
        <f t="shared" si="141"/>
        <v>450444.74257988989</v>
      </c>
      <c r="S186" s="161">
        <f t="shared" si="141"/>
        <v>528175.42343436345</v>
      </c>
      <c r="T186" s="161">
        <f t="shared" si="141"/>
        <v>623016.87240338686</v>
      </c>
      <c r="U186" s="161">
        <f t="shared" si="141"/>
        <v>711497.90067306883</v>
      </c>
      <c r="V186" s="161">
        <f t="shared" si="141"/>
        <v>820258.53128121444</v>
      </c>
      <c r="W186" s="161">
        <f t="shared" si="141"/>
        <v>954780.63801130687</v>
      </c>
      <c r="X186" s="161">
        <f t="shared" si="141"/>
        <v>1121731.9242011947</v>
      </c>
      <c r="Y186" s="161">
        <f t="shared" si="141"/>
        <v>1321016.1318070411</v>
      </c>
      <c r="Z186" s="161">
        <f t="shared" si="141"/>
        <v>1559352.9400793139</v>
      </c>
      <c r="AA186" s="106"/>
      <c r="AB186" s="106"/>
      <c r="AC186" s="106"/>
      <c r="AD186" s="106"/>
      <c r="AE186" s="106"/>
      <c r="AF186" s="106"/>
      <c r="AG186" s="106"/>
      <c r="AH186" s="106"/>
      <c r="AI186" s="106"/>
      <c r="AJ186" s="106"/>
      <c r="AK186" s="106"/>
      <c r="AL186" s="106"/>
    </row>
    <row r="187" spans="2:38" ht="3.75" customHeight="1">
      <c r="G187" s="138"/>
      <c r="AA187" s="106"/>
      <c r="AB187" s="106"/>
      <c r="AC187" s="106"/>
      <c r="AD187" s="106"/>
      <c r="AE187" s="106"/>
      <c r="AF187" s="106"/>
      <c r="AG187" s="106"/>
      <c r="AH187" s="106"/>
      <c r="AI187" s="106"/>
      <c r="AJ187" s="106"/>
      <c r="AK187" s="106"/>
      <c r="AL187" s="106"/>
    </row>
    <row r="188" spans="2:38">
      <c r="B188" s="105" t="s">
        <v>417</v>
      </c>
      <c r="E188" s="131">
        <f t="shared" ref="E188:Z188" si="142">+E126</f>
        <v>31456</v>
      </c>
      <c r="F188" s="131">
        <f t="shared" si="142"/>
        <v>69743</v>
      </c>
      <c r="G188" s="155">
        <f t="shared" si="142"/>
        <v>106878</v>
      </c>
      <c r="H188" s="131">
        <f t="shared" si="142"/>
        <v>111153.12000000001</v>
      </c>
      <c r="I188" s="131">
        <f t="shared" si="142"/>
        <v>115599.24480000001</v>
      </c>
      <c r="J188" s="131">
        <f t="shared" si="142"/>
        <v>120223.21459200002</v>
      </c>
      <c r="K188" s="131">
        <f t="shared" si="142"/>
        <v>125032.14317568003</v>
      </c>
      <c r="L188" s="131">
        <f t="shared" si="142"/>
        <v>130033.42890270724</v>
      </c>
      <c r="M188" s="131">
        <f t="shared" si="142"/>
        <v>133934.43176978847</v>
      </c>
      <c r="N188" s="131">
        <f t="shared" si="142"/>
        <v>137952.46472288211</v>
      </c>
      <c r="O188" s="131">
        <f t="shared" si="142"/>
        <v>142091.03866456856</v>
      </c>
      <c r="P188" s="131">
        <f t="shared" si="142"/>
        <v>146353.76982450564</v>
      </c>
      <c r="Q188" s="131">
        <f t="shared" si="142"/>
        <v>150744.3829192408</v>
      </c>
      <c r="R188" s="131">
        <f t="shared" si="142"/>
        <v>155266.71440681804</v>
      </c>
      <c r="S188" s="131">
        <f t="shared" si="142"/>
        <v>158372.0486949544</v>
      </c>
      <c r="T188" s="131">
        <f t="shared" si="142"/>
        <v>161539.48966885349</v>
      </c>
      <c r="U188" s="131">
        <f t="shared" si="142"/>
        <v>164770.27946223057</v>
      </c>
      <c r="V188" s="131">
        <f t="shared" si="142"/>
        <v>168065.68505147519</v>
      </c>
      <c r="W188" s="131">
        <f t="shared" si="142"/>
        <v>170586.6703272473</v>
      </c>
      <c r="X188" s="131">
        <f t="shared" si="142"/>
        <v>173145.470382156</v>
      </c>
      <c r="Y188" s="131">
        <f t="shared" si="142"/>
        <v>175742.65243788832</v>
      </c>
      <c r="Z188" s="131">
        <f t="shared" si="142"/>
        <v>178378.79222445661</v>
      </c>
      <c r="AA188" s="106"/>
      <c r="AB188" s="106"/>
      <c r="AC188" s="106"/>
      <c r="AD188" s="106"/>
      <c r="AE188" s="106"/>
      <c r="AF188" s="106"/>
      <c r="AG188" s="106"/>
      <c r="AH188" s="106"/>
      <c r="AI188" s="106"/>
      <c r="AJ188" s="106"/>
      <c r="AK188" s="106"/>
      <c r="AL188" s="106"/>
    </row>
    <row r="189" spans="2:38" ht="3.75" customHeight="1">
      <c r="G189" s="127"/>
      <c r="AA189" s="106"/>
      <c r="AB189" s="106"/>
      <c r="AC189" s="106"/>
      <c r="AD189" s="106"/>
      <c r="AE189" s="106"/>
      <c r="AF189" s="106"/>
      <c r="AG189" s="106"/>
      <c r="AH189" s="106"/>
      <c r="AI189" s="106"/>
      <c r="AJ189" s="106"/>
      <c r="AK189" s="106"/>
      <c r="AL189" s="106"/>
    </row>
    <row r="190" spans="2:38">
      <c r="B190" s="105" t="s">
        <v>437</v>
      </c>
      <c r="E190" s="131">
        <f t="shared" ref="E190:Z190" si="143">+E129</f>
        <v>-3286</v>
      </c>
      <c r="F190" s="131">
        <f t="shared" si="143"/>
        <v>-16665</v>
      </c>
      <c r="G190" s="162">
        <f t="shared" si="143"/>
        <v>-15754</v>
      </c>
      <c r="H190" s="154">
        <f t="shared" si="143"/>
        <v>14078.576438356169</v>
      </c>
      <c r="I190" s="154">
        <f t="shared" si="143"/>
        <v>-4898.1162374429186</v>
      </c>
      <c r="J190" s="154">
        <f t="shared" si="143"/>
        <v>6779.6234337899659</v>
      </c>
      <c r="K190" s="154">
        <f t="shared" si="143"/>
        <v>1075.8079817351536</v>
      </c>
      <c r="L190" s="154">
        <f t="shared" si="143"/>
        <v>-4565.6993630136712</v>
      </c>
      <c r="M190" s="154">
        <f t="shared" si="143"/>
        <v>13781.61993751899</v>
      </c>
      <c r="N190" s="154">
        <f t="shared" si="143"/>
        <v>6012.3484325241589</v>
      </c>
      <c r="O190" s="154">
        <f t="shared" si="143"/>
        <v>3173.4574440726719</v>
      </c>
      <c r="P190" s="154">
        <f t="shared" si="143"/>
        <v>-5685.036719351483</v>
      </c>
      <c r="Q190" s="154">
        <f t="shared" si="143"/>
        <v>-275.12300398573279</v>
      </c>
      <c r="R190" s="154">
        <f t="shared" si="143"/>
        <v>-6662.5193438868737</v>
      </c>
      <c r="S190" s="154">
        <f t="shared" si="143"/>
        <v>-6916.5230663577677</v>
      </c>
      <c r="T190" s="154">
        <f t="shared" si="143"/>
        <v>-80730.668485352478</v>
      </c>
      <c r="U190" s="154">
        <f t="shared" si="143"/>
        <v>-38566.177791569848</v>
      </c>
      <c r="V190" s="154">
        <f t="shared" si="143"/>
        <v>-48188.278987186728</v>
      </c>
      <c r="W190" s="154">
        <f t="shared" si="143"/>
        <v>-69050.925706048729</v>
      </c>
      <c r="X190" s="154">
        <f t="shared" si="143"/>
        <v>-110883.69937768811</v>
      </c>
      <c r="Y190" s="154">
        <f t="shared" si="143"/>
        <v>-95098.088782026898</v>
      </c>
      <c r="Z190" s="154">
        <f t="shared" si="143"/>
        <v>-129764.14786821138</v>
      </c>
      <c r="AA190" s="106"/>
      <c r="AB190" s="106"/>
      <c r="AC190" s="106"/>
      <c r="AD190" s="106"/>
      <c r="AE190" s="106"/>
      <c r="AF190" s="106"/>
      <c r="AG190" s="106"/>
      <c r="AH190" s="106"/>
      <c r="AI190" s="106"/>
      <c r="AJ190" s="106"/>
      <c r="AK190" s="106"/>
      <c r="AL190" s="106"/>
    </row>
    <row r="191" spans="2:38" ht="3.75" customHeight="1">
      <c r="G191" s="127"/>
      <c r="AA191" s="106"/>
      <c r="AB191" s="106"/>
      <c r="AC191" s="106"/>
      <c r="AD191" s="106"/>
      <c r="AE191" s="106"/>
      <c r="AF191" s="106"/>
      <c r="AG191" s="106"/>
      <c r="AH191" s="106"/>
      <c r="AI191" s="106"/>
      <c r="AJ191" s="106"/>
      <c r="AK191" s="106"/>
      <c r="AL191" s="106"/>
    </row>
    <row r="192" spans="2:38" ht="13.5" customHeight="1">
      <c r="B192" s="105" t="s">
        <v>421</v>
      </c>
      <c r="E192" s="131">
        <f t="shared" ref="E192:Z192" si="144">+E135</f>
        <v>-12564</v>
      </c>
      <c r="F192" s="131">
        <f t="shared" si="144"/>
        <v>-19549</v>
      </c>
      <c r="G192" s="155">
        <f t="shared" si="144"/>
        <v>-23569</v>
      </c>
      <c r="H192" s="131">
        <f t="shared" si="144"/>
        <v>-34458.400000000001</v>
      </c>
      <c r="I192" s="131">
        <f t="shared" si="144"/>
        <v>-55133.440000000002</v>
      </c>
      <c r="J192" s="131">
        <f t="shared" si="144"/>
        <v>-74430.144</v>
      </c>
      <c r="K192" s="131">
        <f t="shared" si="144"/>
        <v>-111645.216</v>
      </c>
      <c r="L192" s="131">
        <f t="shared" si="144"/>
        <v>-148860.28800000003</v>
      </c>
      <c r="M192" s="131">
        <f t="shared" si="144"/>
        <v>-208404.40320000003</v>
      </c>
      <c r="N192" s="131">
        <f t="shared" si="144"/>
        <v>-255295.39391999997</v>
      </c>
      <c r="O192" s="131">
        <f t="shared" si="144"/>
        <v>-357413.55148799997</v>
      </c>
      <c r="P192" s="131">
        <f t="shared" si="144"/>
        <v>-398260.81451519992</v>
      </c>
      <c r="Q192" s="131">
        <f t="shared" si="144"/>
        <v>-517739.0588697599</v>
      </c>
      <c r="R192" s="131">
        <f t="shared" si="144"/>
        <v>-448707.18435379205</v>
      </c>
      <c r="S192" s="131">
        <f t="shared" si="144"/>
        <v>-560883.98044224002</v>
      </c>
      <c r="T192" s="131">
        <f t="shared" si="144"/>
        <v>-525828.73166459997</v>
      </c>
      <c r="U192" s="131">
        <f t="shared" si="144"/>
        <v>-657285.91458074993</v>
      </c>
      <c r="V192" s="131">
        <f t="shared" si="144"/>
        <v>-821607.39322593738</v>
      </c>
      <c r="W192" s="131">
        <f t="shared" si="144"/>
        <v>-1027009.2415324218</v>
      </c>
      <c r="X192" s="131">
        <f t="shared" si="144"/>
        <v>-1232411.0898389062</v>
      </c>
      <c r="Y192" s="131">
        <f t="shared" si="144"/>
        <v>-1478893.3078066874</v>
      </c>
      <c r="Z192" s="131">
        <f t="shared" si="144"/>
        <v>-1774671.969368025</v>
      </c>
      <c r="AA192" s="106"/>
      <c r="AB192" s="106"/>
      <c r="AC192" s="106"/>
      <c r="AD192" s="106"/>
      <c r="AE192" s="106"/>
      <c r="AF192" s="106"/>
      <c r="AG192" s="106"/>
      <c r="AH192" s="106"/>
      <c r="AI192" s="106"/>
      <c r="AJ192" s="106"/>
      <c r="AK192" s="106"/>
      <c r="AL192" s="106"/>
    </row>
    <row r="193" spans="2:38" ht="3.75" customHeight="1">
      <c r="B193" s="132"/>
      <c r="E193" s="134"/>
      <c r="F193" s="134"/>
      <c r="G193" s="142"/>
      <c r="H193" s="157"/>
      <c r="I193" s="157"/>
      <c r="J193" s="157"/>
      <c r="K193" s="157"/>
      <c r="L193" s="157"/>
      <c r="M193" s="157"/>
      <c r="N193" s="157"/>
      <c r="O193" s="157"/>
      <c r="P193" s="157"/>
      <c r="Q193" s="157"/>
      <c r="R193" s="157"/>
      <c r="S193" s="157"/>
      <c r="T193" s="157"/>
      <c r="U193" s="157"/>
      <c r="V193" s="157"/>
      <c r="W193" s="157"/>
      <c r="X193" s="157"/>
      <c r="Y193" s="157"/>
      <c r="Z193" s="157"/>
      <c r="AA193" s="106"/>
      <c r="AB193" s="106"/>
      <c r="AC193" s="106"/>
      <c r="AD193" s="106"/>
      <c r="AE193" s="106"/>
      <c r="AF193" s="106"/>
      <c r="AG193" s="106"/>
      <c r="AH193" s="106"/>
      <c r="AI193" s="106"/>
      <c r="AJ193" s="106"/>
      <c r="AK193" s="106"/>
      <c r="AL193" s="106"/>
    </row>
    <row r="194" spans="2:38">
      <c r="B194" s="163" t="s">
        <v>27</v>
      </c>
      <c r="C194" s="164"/>
      <c r="D194" s="164"/>
      <c r="E194" s="165">
        <f t="shared" ref="E194:P194" si="145">IFERROR(E184+E186+E192+E190+E188,"")</f>
        <v>-64536</v>
      </c>
      <c r="F194" s="165">
        <f t="shared" si="145"/>
        <v>-113850.04800943425</v>
      </c>
      <c r="G194" s="166">
        <f t="shared" si="145"/>
        <v>-146246.04136110173</v>
      </c>
      <c r="H194" s="165">
        <f t="shared" ca="1" si="145"/>
        <v>-112020.30306147794</v>
      </c>
      <c r="I194" s="165">
        <f t="shared" ca="1" si="145"/>
        <v>-188326.79755000267</v>
      </c>
      <c r="J194" s="165">
        <f t="shared" ca="1" si="145"/>
        <v>-232576.45004447515</v>
      </c>
      <c r="K194" s="165">
        <f t="shared" ca="1" si="145"/>
        <v>-318961.7132299731</v>
      </c>
      <c r="L194" s="165">
        <f t="shared" ca="1" si="145"/>
        <v>-376231.76193911082</v>
      </c>
      <c r="M194" s="165">
        <f t="shared" ca="1" si="145"/>
        <v>-413774.05334597186</v>
      </c>
      <c r="N194" s="165">
        <f t="shared" ca="1" si="145"/>
        <v>-424451.22517549177</v>
      </c>
      <c r="O194" s="165">
        <f t="shared" ca="1" si="145"/>
        <v>-441904.95457625238</v>
      </c>
      <c r="P194" s="165">
        <f t="shared" ca="1" si="145"/>
        <v>-384029.48562125827</v>
      </c>
      <c r="Q194" s="165">
        <f t="shared" ref="Q194:Z194" ca="1" si="146">IFERROR(Q184+Q186+Q192+Q190+Q188,"")</f>
        <v>-351840.16327913525</v>
      </c>
      <c r="R194" s="165">
        <f t="shared" ca="1" si="146"/>
        <v>-90362.82983486497</v>
      </c>
      <c r="S194" s="165">
        <f t="shared" ca="1" si="146"/>
        <v>11172.173523719684</v>
      </c>
      <c r="T194" s="165">
        <f t="shared" ca="1" si="146"/>
        <v>261640.86693890006</v>
      </c>
      <c r="U194" s="165">
        <f t="shared" ca="1" si="146"/>
        <v>556443.96780196484</v>
      </c>
      <c r="V194" s="165">
        <f t="shared" ca="1" si="146"/>
        <v>895388.66450791154</v>
      </c>
      <c r="W194" s="165">
        <f t="shared" ca="1" si="146"/>
        <v>1348702.9837551736</v>
      </c>
      <c r="X194" s="165">
        <f t="shared" ca="1" si="146"/>
        <v>1908574.1519097181</v>
      </c>
      <c r="Y194" s="165">
        <f t="shared" ca="1" si="146"/>
        <v>2736468.7835560748</v>
      </c>
      <c r="Z194" s="777">
        <f t="shared" ca="1" si="146"/>
        <v>3792097.0778961712</v>
      </c>
      <c r="AA194" s="106"/>
      <c r="AB194" s="106" t="s">
        <v>438</v>
      </c>
      <c r="AC194" s="106"/>
      <c r="AD194" s="106">
        <f ca="1">+J194/(1+$C$12)^(J197-2)</f>
        <v>-228327.27420548716</v>
      </c>
      <c r="AE194" s="106">
        <f ca="1">+K194/(1+$C$12)^(K197-2)</f>
        <v>-277226.08425293898</v>
      </c>
      <c r="AF194" s="106">
        <f ca="1">+L194/(1+$C$12)^(L197-2)</f>
        <v>-289503.93584143982</v>
      </c>
      <c r="AG194" s="106">
        <f ca="1">+M194/(1+$C$12)^(M197-2)</f>
        <v>-281880.965478411</v>
      </c>
      <c r="AH194" s="106">
        <f ca="1">+N194/(1+$C$12)^(N197-2)</f>
        <v>-255996.34737777413</v>
      </c>
      <c r="AI194" s="106"/>
      <c r="AJ194" s="106">
        <f ca="1">+O194/(1+$C$12)^(O197-2)</f>
        <v>-235959.96804869417</v>
      </c>
      <c r="AK194" s="106">
        <f ca="1">+P194/(1+$C$12)^(P197-2)</f>
        <v>-181542.1644606537</v>
      </c>
      <c r="AL194" s="106">
        <f ca="1">+Q194/(1+$C$12)^(Q197-2)</f>
        <v>-147252.21378236785</v>
      </c>
    </row>
    <row r="195" spans="2:38" ht="15.75">
      <c r="B195" s="167" t="s">
        <v>439</v>
      </c>
      <c r="C195" s="168"/>
      <c r="D195" s="168"/>
      <c r="E195" s="168"/>
      <c r="F195" s="168"/>
      <c r="G195" s="169"/>
      <c r="H195" s="170">
        <f ca="1">IFERROR(H194/(1+$C$12)^H197,"")</f>
        <v>-109973.69015138353</v>
      </c>
      <c r="I195" s="170">
        <f t="shared" ref="I195:P195" ca="1" si="147">IFERROR(I194/(1+$C$12)^I197,"")</f>
        <v>-163684.53792145321</v>
      </c>
      <c r="J195" s="170">
        <f t="shared" ca="1" si="147"/>
        <v>-178963.61892700201</v>
      </c>
      <c r="K195" s="170">
        <f t="shared" ca="1" si="147"/>
        <v>-217290.6564557745</v>
      </c>
      <c r="L195" s="170">
        <f t="shared" ca="1" si="147"/>
        <v>-226914.07424750651</v>
      </c>
      <c r="M195" s="170">
        <f t="shared" ca="1" si="147"/>
        <v>-220939.16665975522</v>
      </c>
      <c r="N195" s="170">
        <f t="shared" ca="1" si="147"/>
        <v>-200650.72347681626</v>
      </c>
      <c r="O195" s="170">
        <f t="shared" ca="1" si="147"/>
        <v>-184946.14780838674</v>
      </c>
      <c r="P195" s="170">
        <f t="shared" ca="1" si="147"/>
        <v>-142293.30618855509</v>
      </c>
      <c r="Q195" s="170">
        <f t="shared" ref="Q195:Z195" ca="1" si="148">IFERROR(Q194/(1+$C$12)^Q197,"")</f>
        <v>-115416.73751068594</v>
      </c>
      <c r="R195" s="170">
        <f t="shared" ca="1" si="148"/>
        <v>-26243.193580400934</v>
      </c>
      <c r="S195" s="170">
        <f t="shared" ca="1" si="148"/>
        <v>2872.5527598543581</v>
      </c>
      <c r="T195" s="170">
        <f t="shared" ca="1" si="148"/>
        <v>59557.903500616696</v>
      </c>
      <c r="U195" s="170">
        <f t="shared" ca="1" si="148"/>
        <v>112139.53260453329</v>
      </c>
      <c r="V195" s="170">
        <f t="shared" ca="1" si="148"/>
        <v>159754.23337729872</v>
      </c>
      <c r="W195" s="170">
        <f t="shared" ca="1" si="148"/>
        <v>213039.71990574617</v>
      </c>
      <c r="X195" s="170">
        <f t="shared" ca="1" si="148"/>
        <v>266905.04484815995</v>
      </c>
      <c r="Y195" s="170">
        <f t="shared" ca="1" si="148"/>
        <v>338798.69097150449</v>
      </c>
      <c r="Z195" s="776">
        <f t="shared" ca="1" si="148"/>
        <v>415656.09462562547</v>
      </c>
      <c r="AA195" s="106"/>
      <c r="AB195" s="106" t="s">
        <v>440</v>
      </c>
      <c r="AC195" s="337">
        <f t="shared" ref="AC195:AH195" ca="1" si="149">+I194/(1+$C$12)^(I197-1)</f>
        <v>-184886.06364151608</v>
      </c>
      <c r="AD195" s="337">
        <f t="shared" ca="1" si="149"/>
        <v>-202144.19430582691</v>
      </c>
      <c r="AE195" s="337">
        <f t="shared" ca="1" si="149"/>
        <v>-245435.60832524885</v>
      </c>
      <c r="AF195" s="337">
        <f t="shared" ca="1" si="149"/>
        <v>-256305.51611791315</v>
      </c>
      <c r="AG195" s="337">
        <f t="shared" ca="1" si="149"/>
        <v>-249556.69818710009</v>
      </c>
      <c r="AH195" s="337">
        <f t="shared" ca="1" si="149"/>
        <v>-226640.35895835664</v>
      </c>
      <c r="AI195" s="337"/>
      <c r="AJ195" s="337">
        <f ca="1">+O194/(1+$C$12)^(O197-1)</f>
        <v>-208901.62069164522</v>
      </c>
      <c r="AK195" s="337">
        <f ca="1">+P194/(1+$C$12)^(P197-1)</f>
        <v>-160724.09524938324</v>
      </c>
      <c r="AL195" s="337">
        <f ca="1">+Q194/(1+$C$12)^(Q197-1)</f>
        <v>-130366.29206197038</v>
      </c>
    </row>
    <row r="196" spans="2:38" ht="3.75" customHeight="1">
      <c r="G196" s="127"/>
      <c r="AA196" s="106"/>
      <c r="AB196" s="106"/>
      <c r="AC196" s="106"/>
      <c r="AD196" s="106"/>
      <c r="AE196" s="106"/>
      <c r="AF196" s="106"/>
      <c r="AG196" s="106"/>
      <c r="AH196" s="106"/>
      <c r="AI196" s="106"/>
      <c r="AJ196" s="106"/>
      <c r="AK196" s="106"/>
      <c r="AL196" s="106"/>
    </row>
    <row r="197" spans="2:38">
      <c r="B197" s="105" t="s">
        <v>441</v>
      </c>
      <c r="G197" s="127"/>
      <c r="H197" s="172">
        <f ca="1">+H198/2</f>
        <v>0.15138888888888888</v>
      </c>
      <c r="I197" s="172">
        <f ca="1">+H197+1</f>
        <v>1.1513888888888888</v>
      </c>
      <c r="J197" s="172">
        <f t="shared" ref="J197:P197" ca="1" si="150">+I197+1</f>
        <v>2.1513888888888886</v>
      </c>
      <c r="K197" s="172">
        <f ca="1">+J197+1</f>
        <v>3.1513888888888886</v>
      </c>
      <c r="L197" s="172">
        <f t="shared" ca="1" si="150"/>
        <v>4.1513888888888886</v>
      </c>
      <c r="M197" s="172">
        <f t="shared" ca="1" si="150"/>
        <v>5.1513888888888886</v>
      </c>
      <c r="N197" s="172">
        <f t="shared" ca="1" si="150"/>
        <v>6.1513888888888886</v>
      </c>
      <c r="O197" s="172">
        <f t="shared" ca="1" si="150"/>
        <v>7.1513888888888886</v>
      </c>
      <c r="P197" s="172">
        <f t="shared" ca="1" si="150"/>
        <v>8.1513888888888886</v>
      </c>
      <c r="Q197" s="172">
        <f t="shared" ref="Q197:Z197" ca="1" si="151">+P197+1</f>
        <v>9.1513888888888886</v>
      </c>
      <c r="R197" s="172">
        <f t="shared" ca="1" si="151"/>
        <v>10.151388888888889</v>
      </c>
      <c r="S197" s="172">
        <f t="shared" ca="1" si="151"/>
        <v>11.151388888888889</v>
      </c>
      <c r="T197" s="172">
        <f t="shared" ca="1" si="151"/>
        <v>12.151388888888889</v>
      </c>
      <c r="U197" s="172">
        <f t="shared" ca="1" si="151"/>
        <v>13.151388888888889</v>
      </c>
      <c r="V197" s="172">
        <f t="shared" ca="1" si="151"/>
        <v>14.151388888888889</v>
      </c>
      <c r="W197" s="172">
        <f t="shared" ca="1" si="151"/>
        <v>15.151388888888889</v>
      </c>
      <c r="X197" s="172">
        <f t="shared" ca="1" si="151"/>
        <v>16.151388888888889</v>
      </c>
      <c r="Y197" s="172">
        <f t="shared" ca="1" si="151"/>
        <v>17.151388888888889</v>
      </c>
      <c r="Z197" s="172">
        <f t="shared" ca="1" si="151"/>
        <v>18.151388888888889</v>
      </c>
      <c r="AA197" s="106"/>
      <c r="AB197" s="106"/>
      <c r="AC197" s="106"/>
      <c r="AD197" s="106"/>
      <c r="AE197" s="106"/>
      <c r="AF197" s="106"/>
      <c r="AG197" s="106"/>
      <c r="AH197" s="106"/>
      <c r="AI197" s="106"/>
      <c r="AJ197" s="106"/>
      <c r="AK197" s="106"/>
      <c r="AL197" s="106"/>
    </row>
    <row r="198" spans="2:38" hidden="1">
      <c r="B198" s="105" t="s">
        <v>442</v>
      </c>
      <c r="G198" s="127"/>
      <c r="H198" s="172">
        <f ca="1">YEARFRAC(P198,P199)</f>
        <v>0.30277777777777776</v>
      </c>
      <c r="P198" s="173">
        <f ca="1">TODAY()</f>
        <v>45912</v>
      </c>
      <c r="AA198" s="106"/>
      <c r="AB198" s="106"/>
      <c r="AC198" s="106"/>
      <c r="AD198" s="106"/>
      <c r="AE198" s="106"/>
      <c r="AF198" s="106"/>
      <c r="AG198" s="106"/>
      <c r="AH198" s="106"/>
      <c r="AI198" s="106"/>
      <c r="AJ198" s="106"/>
      <c r="AK198" s="106"/>
      <c r="AL198" s="106"/>
    </row>
    <row r="199" spans="2:38" s="106" customFormat="1" ht="3.75" customHeight="1">
      <c r="G199" s="174"/>
      <c r="P199" s="173">
        <v>46022</v>
      </c>
    </row>
    <row r="200" spans="2:38">
      <c r="B200" s="105" t="s">
        <v>443</v>
      </c>
      <c r="G200" s="127"/>
      <c r="L200" s="175" t="str">
        <f ca="1">IFERROR((#REF!*(1+$C$13))/($C$12-$C$13),"")</f>
        <v/>
      </c>
      <c r="P200" s="176"/>
      <c r="Q200" s="177"/>
      <c r="R200" s="177"/>
      <c r="S200" s="177"/>
      <c r="T200" s="177"/>
      <c r="U200" s="177"/>
      <c r="V200" s="177"/>
      <c r="W200" s="177"/>
      <c r="X200" s="177"/>
      <c r="Y200" s="177"/>
      <c r="Z200" s="177">
        <f ca="1">IFERROR(+(Z194*(1+$C$13))/($C$12-$C$13),"")</f>
        <v>35315017.817968816</v>
      </c>
      <c r="AA200" s="106">
        <v>2025</v>
      </c>
      <c r="AB200" s="106">
        <v>2026</v>
      </c>
      <c r="AC200" s="603"/>
      <c r="AD200" s="604"/>
      <c r="AE200" s="604"/>
      <c r="AF200" s="106"/>
      <c r="AG200" s="106"/>
      <c r="AH200" s="106"/>
      <c r="AI200" s="106"/>
      <c r="AJ200" s="106"/>
      <c r="AK200" s="106"/>
      <c r="AL200" s="106"/>
    </row>
    <row r="201" spans="2:38">
      <c r="B201" s="105" t="s">
        <v>444</v>
      </c>
      <c r="G201" s="127"/>
      <c r="L201" s="175" t="str">
        <f ca="1">IFERROR(L200/(1+$C$12)^#REF!,"")</f>
        <v/>
      </c>
      <c r="Z201" s="750">
        <f ca="1">IFERROR(Z200/(1+$C$12)^$Z$197,"")</f>
        <v>3870919.4639065112</v>
      </c>
      <c r="AA201" s="809">
        <f ca="1">+Q200/(1+$C$12)^$P$197</f>
        <v>0</v>
      </c>
      <c r="AB201" s="106">
        <f ca="1">+Q200/(1+$C$12)^$O$197</f>
        <v>0</v>
      </c>
      <c r="AC201" s="604"/>
      <c r="AD201" s="113"/>
      <c r="AE201" s="113"/>
      <c r="AF201" s="106"/>
      <c r="AG201" s="106"/>
      <c r="AH201" s="106"/>
      <c r="AI201" s="106"/>
      <c r="AJ201" s="106"/>
      <c r="AK201" s="106"/>
      <c r="AL201" s="106"/>
    </row>
    <row r="202" spans="2:38">
      <c r="B202" s="105" t="s">
        <v>445</v>
      </c>
      <c r="G202" s="127"/>
      <c r="L202" s="178"/>
      <c r="Z202" s="750">
        <f ca="1">+SUM(H195:Z195,Z201)</f>
        <v>3652327.3835721305</v>
      </c>
      <c r="AA202" s="809">
        <f ca="1">+SUM(AC195:AL195,AA201)</f>
        <v>-1864960.4475389605</v>
      </c>
      <c r="AB202" s="106">
        <f ca="1">+SUM(AB201,AD194:AL194)</f>
        <v>-1897688.9534477666</v>
      </c>
      <c r="AC202" s="604"/>
      <c r="AD202" s="113"/>
      <c r="AE202" s="113"/>
      <c r="AF202" s="106"/>
      <c r="AG202" s="106"/>
      <c r="AH202" s="106"/>
      <c r="AI202" s="106"/>
      <c r="AJ202" s="106"/>
      <c r="AK202" s="106"/>
      <c r="AL202" s="106"/>
    </row>
    <row r="203" spans="2:38">
      <c r="B203" s="105" t="s">
        <v>446</v>
      </c>
      <c r="G203" s="127"/>
      <c r="L203" s="178"/>
      <c r="Z203" s="751">
        <v>340289</v>
      </c>
      <c r="AA203" s="809">
        <f ca="1">+H89</f>
        <v>54852.613005188701</v>
      </c>
      <c r="AB203" s="809">
        <f ca="1">+I89</f>
        <v>-453756.33704259171</v>
      </c>
      <c r="AC203" s="110"/>
      <c r="AD203" s="110"/>
      <c r="AE203" s="110"/>
      <c r="AF203" s="106"/>
      <c r="AG203" s="106"/>
      <c r="AH203" s="106"/>
      <c r="AI203" s="106"/>
      <c r="AJ203" s="106"/>
      <c r="AK203" s="106"/>
      <c r="AL203" s="106"/>
    </row>
    <row r="204" spans="2:38">
      <c r="B204" s="105" t="s">
        <v>447</v>
      </c>
      <c r="G204" s="127"/>
      <c r="L204" s="178"/>
      <c r="Z204" s="751">
        <v>0</v>
      </c>
      <c r="AA204" s="809">
        <f>+Z204</f>
        <v>0</v>
      </c>
      <c r="AB204" s="809">
        <f>+Z204</f>
        <v>0</v>
      </c>
      <c r="AC204" s="110"/>
      <c r="AD204" s="110"/>
      <c r="AE204" s="110"/>
      <c r="AF204" s="106"/>
      <c r="AG204" s="106"/>
      <c r="AH204" s="106"/>
      <c r="AI204" s="106"/>
      <c r="AJ204" s="106"/>
      <c r="AK204" s="106"/>
      <c r="AL204" s="106"/>
    </row>
    <row r="205" spans="2:38">
      <c r="B205" s="105" t="s">
        <v>448</v>
      </c>
      <c r="G205" s="127"/>
      <c r="M205" s="179"/>
      <c r="Z205" s="751">
        <v>0</v>
      </c>
      <c r="AA205" s="809">
        <f>+Z205</f>
        <v>0</v>
      </c>
      <c r="AB205" s="809">
        <f>+Z205</f>
        <v>0</v>
      </c>
      <c r="AC205" s="110"/>
      <c r="AD205" s="110"/>
      <c r="AE205" s="110"/>
      <c r="AF205" s="106"/>
      <c r="AG205" s="106"/>
      <c r="AH205" s="106"/>
      <c r="AI205" s="106"/>
      <c r="AJ205" s="106"/>
      <c r="AK205" s="106"/>
      <c r="AL205" s="106"/>
    </row>
    <row r="206" spans="2:38">
      <c r="B206" s="105" t="s">
        <v>449</v>
      </c>
      <c r="G206" s="127"/>
      <c r="Z206" s="751">
        <v>17725</v>
      </c>
      <c r="AA206" s="809">
        <f>+H117</f>
        <v>245379.05900000001</v>
      </c>
      <c r="AB206" s="809">
        <f>+I117</f>
        <v>245379.05900000001</v>
      </c>
      <c r="AC206" s="110"/>
      <c r="AD206" s="110"/>
      <c r="AE206" s="110"/>
      <c r="AF206" s="106"/>
      <c r="AG206" s="106"/>
      <c r="AH206" s="106"/>
      <c r="AI206" s="106"/>
      <c r="AJ206" s="106"/>
      <c r="AK206" s="106"/>
      <c r="AL206" s="106"/>
    </row>
    <row r="207" spans="2:38">
      <c r="B207" s="105" t="s">
        <v>202</v>
      </c>
      <c r="G207" s="127"/>
      <c r="Z207" s="750">
        <f ca="1">Z202+Z203-Z204-Z205-Z206</f>
        <v>3974891.3835721305</v>
      </c>
      <c r="AA207" s="809">
        <f ca="1">AA202+AA203-AA204-AA205-AA206</f>
        <v>-2055486.8935337719</v>
      </c>
      <c r="AB207" s="809">
        <f ca="1">AB202+AB203-AB204-AB205-AB206</f>
        <v>-2596824.349490358</v>
      </c>
      <c r="AC207" s="110"/>
      <c r="AD207" s="110"/>
      <c r="AE207" s="110"/>
      <c r="AF207" s="106"/>
      <c r="AG207" s="106"/>
      <c r="AH207" s="106"/>
      <c r="AI207" s="106"/>
      <c r="AJ207" s="106"/>
      <c r="AK207" s="106"/>
      <c r="AL207" s="106"/>
    </row>
    <row r="208" spans="2:38" ht="3.75" customHeight="1">
      <c r="G208" s="127"/>
      <c r="Z208" s="752"/>
      <c r="AA208" s="178"/>
      <c r="AB208" s="178"/>
      <c r="AC208" s="110"/>
      <c r="AD208" s="110"/>
      <c r="AE208" s="110"/>
      <c r="AF208" s="106"/>
      <c r="AG208" s="106"/>
      <c r="AH208" s="106"/>
      <c r="AI208" s="106"/>
      <c r="AJ208" s="106"/>
      <c r="AK208" s="106"/>
      <c r="AL208" s="106"/>
    </row>
    <row r="209" spans="1:38">
      <c r="B209" s="105" t="s">
        <v>450</v>
      </c>
      <c r="G209" s="127"/>
      <c r="O209" s="132"/>
      <c r="Z209" s="175" cm="1">
        <f t="array" aca="1" ref="Z209" ca="1">IFERROR(_FV(AA4,"Shares outstanding",TRUE)/1000,"")</f>
        <v>297682.40000000002</v>
      </c>
      <c r="AA209" s="178"/>
      <c r="AB209" s="178"/>
      <c r="AC209" s="110"/>
      <c r="AD209" s="110"/>
      <c r="AE209" s="110"/>
      <c r="AF209" s="106"/>
      <c r="AG209" s="106"/>
      <c r="AH209" s="106"/>
      <c r="AI209" s="106"/>
      <c r="AJ209" s="106"/>
      <c r="AK209" s="106"/>
      <c r="AL209" s="106"/>
    </row>
    <row r="210" spans="1:38" ht="15.75">
      <c r="B210" s="129" t="s">
        <v>451</v>
      </c>
      <c r="G210" s="127"/>
      <c r="N210" s="180"/>
      <c r="Z210" s="753">
        <f ca="1">IFERROR(Z207/Z$209,"")</f>
        <v>13.352792719932822</v>
      </c>
      <c r="AA210" s="178"/>
      <c r="AB210" s="178"/>
      <c r="AC210" s="110"/>
      <c r="AD210" s="110"/>
      <c r="AE210" s="110"/>
      <c r="AF210" s="106"/>
      <c r="AG210" s="106"/>
      <c r="AH210" s="106"/>
      <c r="AI210" s="106"/>
      <c r="AJ210" s="106"/>
      <c r="AK210" s="106"/>
      <c r="AL210" s="106"/>
    </row>
    <row r="211" spans="1:38" ht="3.75" customHeight="1">
      <c r="G211" s="127"/>
      <c r="Z211" s="178"/>
      <c r="AA211" s="178"/>
      <c r="AB211" s="178"/>
      <c r="AC211" s="110"/>
      <c r="AD211" s="110"/>
      <c r="AE211" s="110"/>
      <c r="AF211" s="106"/>
      <c r="AG211" s="106"/>
      <c r="AH211" s="106"/>
      <c r="AI211" s="106"/>
      <c r="AJ211" s="106"/>
      <c r="AK211" s="106"/>
      <c r="AL211" s="106"/>
    </row>
    <row r="212" spans="1:38">
      <c r="B212" s="105" t="s">
        <v>452</v>
      </c>
      <c r="G212" s="127"/>
      <c r="Z212" s="753" cm="1">
        <f t="array" aca="1" ref="Z212" ca="1">IFERROR(_FV(AA4,"Price"),"")</f>
        <v>55.008000000000003</v>
      </c>
      <c r="AA212" s="178"/>
      <c r="AB212" s="178"/>
      <c r="AC212" s="106"/>
      <c r="AD212" s="106"/>
      <c r="AE212" s="106"/>
      <c r="AF212" s="106"/>
      <c r="AG212" s="106"/>
      <c r="AH212" s="106"/>
      <c r="AI212" s="106"/>
      <c r="AJ212" s="106"/>
      <c r="AK212" s="106"/>
      <c r="AL212" s="106"/>
    </row>
    <row r="213" spans="1:38" ht="15.75">
      <c r="B213" s="129" t="s">
        <v>453</v>
      </c>
      <c r="C213" s="129"/>
      <c r="D213" s="129"/>
      <c r="E213" s="129"/>
      <c r="F213" s="129"/>
      <c r="G213" s="182"/>
      <c r="H213" s="129"/>
      <c r="I213" s="129"/>
      <c r="J213" s="129"/>
      <c r="K213" s="129"/>
      <c r="L213" s="129"/>
      <c r="M213" s="129"/>
      <c r="N213" s="129"/>
      <c r="O213" s="129"/>
      <c r="P213" s="129"/>
      <c r="Z213" s="754">
        <f ca="1">IFERROR(Z210/Z212-1,"")</f>
        <v>-0.75725725858179138</v>
      </c>
      <c r="AA213" s="178"/>
      <c r="AB213" s="178"/>
      <c r="AC213" s="106"/>
      <c r="AD213" s="106"/>
      <c r="AE213" s="106"/>
      <c r="AF213" s="106"/>
      <c r="AG213" s="106"/>
      <c r="AH213" s="106"/>
      <c r="AI213" s="106"/>
      <c r="AJ213" s="106"/>
      <c r="AK213" s="106"/>
      <c r="AL213" s="106"/>
    </row>
    <row r="214" spans="1:38" ht="5.25" customHeight="1">
      <c r="B214" s="129"/>
      <c r="C214" s="129"/>
      <c r="D214" s="129"/>
      <c r="E214" s="129"/>
      <c r="F214" s="129"/>
      <c r="G214" s="182"/>
      <c r="H214" s="129"/>
      <c r="I214" s="129"/>
      <c r="J214" s="129"/>
      <c r="K214" s="129"/>
      <c r="L214" s="129"/>
      <c r="M214" s="129"/>
      <c r="N214" s="129"/>
      <c r="O214" s="129"/>
      <c r="P214" s="129"/>
      <c r="Q214" s="183"/>
      <c r="R214" s="183"/>
      <c r="S214" s="183"/>
      <c r="T214" s="183"/>
      <c r="U214" s="183"/>
      <c r="V214" s="183"/>
      <c r="W214" s="183"/>
      <c r="X214" s="183"/>
      <c r="Y214" s="183"/>
      <c r="Z214" s="183"/>
      <c r="AA214" s="106"/>
      <c r="AB214" s="106"/>
      <c r="AC214" s="106"/>
      <c r="AD214" s="106"/>
      <c r="AE214" s="106"/>
      <c r="AF214" s="106"/>
      <c r="AG214" s="106"/>
      <c r="AH214" s="106"/>
      <c r="AI214" s="106"/>
      <c r="AJ214" s="106"/>
      <c r="AK214" s="106"/>
      <c r="AL214" s="106"/>
    </row>
    <row r="215" spans="1:38" ht="15.75" hidden="1">
      <c r="A215" s="105" t="s">
        <v>349</v>
      </c>
      <c r="B215" s="43" t="s">
        <v>454</v>
      </c>
      <c r="C215" s="43"/>
      <c r="D215" s="43"/>
      <c r="E215" s="116">
        <f>E170</f>
        <v>2022</v>
      </c>
      <c r="F215" s="116">
        <f t="shared" ref="F215:P215" si="152">F170</f>
        <v>2023</v>
      </c>
      <c r="G215" s="116">
        <f t="shared" si="152"/>
        <v>2024</v>
      </c>
      <c r="H215" s="116">
        <f t="shared" si="152"/>
        <v>2025</v>
      </c>
      <c r="I215" s="116">
        <f t="shared" si="152"/>
        <v>2026</v>
      </c>
      <c r="J215" s="116">
        <f t="shared" si="152"/>
        <v>2027</v>
      </c>
      <c r="K215" s="116">
        <f t="shared" si="152"/>
        <v>2028</v>
      </c>
      <c r="L215" s="116">
        <f t="shared" si="152"/>
        <v>2029</v>
      </c>
      <c r="M215" s="116">
        <f t="shared" si="152"/>
        <v>2030</v>
      </c>
      <c r="N215" s="116">
        <f t="shared" si="152"/>
        <v>2031</v>
      </c>
      <c r="O215" s="116">
        <f t="shared" si="152"/>
        <v>2032</v>
      </c>
      <c r="P215" s="116">
        <f t="shared" si="152"/>
        <v>2033</v>
      </c>
      <c r="Q215" s="116">
        <f t="shared" ref="Q215:Z215" si="153">Q170</f>
        <v>2034</v>
      </c>
      <c r="R215" s="116">
        <f t="shared" si="153"/>
        <v>2035</v>
      </c>
      <c r="S215" s="116">
        <f t="shared" si="153"/>
        <v>2036</v>
      </c>
      <c r="T215" s="116">
        <f t="shared" si="153"/>
        <v>2037</v>
      </c>
      <c r="U215" s="116">
        <f t="shared" si="153"/>
        <v>2038</v>
      </c>
      <c r="V215" s="116">
        <f t="shared" si="153"/>
        <v>2039</v>
      </c>
      <c r="W215" s="116">
        <f t="shared" si="153"/>
        <v>2040</v>
      </c>
      <c r="X215" s="116">
        <f t="shared" si="153"/>
        <v>2041</v>
      </c>
      <c r="Y215" s="116">
        <f t="shared" si="153"/>
        <v>2042</v>
      </c>
      <c r="Z215" s="116">
        <f t="shared" si="153"/>
        <v>2043</v>
      </c>
      <c r="AA215" s="106"/>
      <c r="AB215" s="106"/>
      <c r="AC215" s="106"/>
      <c r="AD215" s="106"/>
      <c r="AE215" s="106"/>
      <c r="AF215" s="106"/>
      <c r="AG215" s="106"/>
      <c r="AH215" s="106"/>
      <c r="AI215" s="106"/>
      <c r="AJ215" s="106"/>
      <c r="AK215" s="106"/>
      <c r="AL215" s="106"/>
    </row>
    <row r="216" spans="1:38" ht="3.75" hidden="1" customHeight="1">
      <c r="B216" s="44"/>
      <c r="C216" s="44"/>
      <c r="D216" s="44"/>
      <c r="E216" s="44"/>
      <c r="F216" s="44"/>
      <c r="G216" s="145"/>
      <c r="H216" s="44"/>
      <c r="I216" s="44"/>
      <c r="J216" s="44"/>
      <c r="K216" s="44"/>
      <c r="L216" s="44"/>
      <c r="M216" s="44"/>
      <c r="N216" s="44"/>
      <c r="O216" s="44"/>
      <c r="P216" s="44"/>
      <c r="Q216" s="44"/>
      <c r="R216" s="44"/>
      <c r="S216" s="44"/>
      <c r="T216" s="44"/>
      <c r="U216" s="44"/>
      <c r="V216" s="44"/>
      <c r="W216" s="44"/>
      <c r="X216" s="44"/>
      <c r="Y216" s="44"/>
      <c r="Z216" s="44"/>
      <c r="AA216" s="106"/>
      <c r="AB216" s="106"/>
      <c r="AC216" s="106"/>
      <c r="AD216" s="106"/>
      <c r="AE216" s="106"/>
      <c r="AF216" s="106"/>
      <c r="AG216" s="106"/>
      <c r="AH216" s="106"/>
      <c r="AI216" s="106"/>
      <c r="AJ216" s="106"/>
      <c r="AK216" s="106"/>
      <c r="AL216" s="106"/>
    </row>
    <row r="217" spans="1:38" hidden="1">
      <c r="B217" s="163" t="s">
        <v>455</v>
      </c>
      <c r="C217" s="164"/>
      <c r="D217" s="164"/>
      <c r="E217" s="165"/>
      <c r="F217" s="165"/>
      <c r="G217" s="166"/>
      <c r="H217" s="165">
        <f ca="1">IFERROR(H194/(1+WACC!$G$16)^H197,"")</f>
        <v>-110038.34429787812</v>
      </c>
      <c r="I217" s="165">
        <f ca="1">IFERROR(I194/(1+WACC!$G$16)^I197,"")</f>
        <v>-164417.8463119847</v>
      </c>
      <c r="J217" s="165">
        <f ca="1">IFERROR(J194/(1+WACC!$G$16)^J197,"")</f>
        <v>-180464.6323066004</v>
      </c>
      <c r="K217" s="165">
        <f ca="1">IFERROR(K194/(1+WACC!$G$16)^K197,"")</f>
        <v>-219965.43857396909</v>
      </c>
      <c r="L217" s="165">
        <f ca="1">IFERROR(L194/(1+WACC!$G$16)^L197,"")</f>
        <v>-230600.8373157832</v>
      </c>
      <c r="M217" s="165">
        <f ca="1">IFERROR(M194/(1+WACC!$G$16)^M197,"")</f>
        <v>-225402.229342231</v>
      </c>
      <c r="N217" s="165">
        <f ca="1">IFERROR(N194/(1+WACC!$G$16)^N197,"")</f>
        <v>-205500.21225921641</v>
      </c>
      <c r="O217" s="165">
        <f ca="1">IFERROR(O194/(1+WACC!$G$16)^O197,"")</f>
        <v>-190152.86972601758</v>
      </c>
      <c r="P217" s="165">
        <f ca="1">IFERROR(P194/(1+WACC!$G$16)^P197,"")</f>
        <v>-146868.31547180648</v>
      </c>
      <c r="Q217" s="165">
        <f ca="1">IFERROR(Q194/(1+WACC!$G$16)^Q197,"")</f>
        <v>-119590.99701748777</v>
      </c>
      <c r="R217" s="165">
        <f ca="1">IFERROR(R194/(1+WACC!$G$16)^R197,"")</f>
        <v>-27298.100347865362</v>
      </c>
      <c r="S217" s="165">
        <f ca="1">IFERROR(S194/(1+WACC!$G$16)^S197,"")</f>
        <v>2999.6446208548373</v>
      </c>
      <c r="T217" s="165">
        <f ca="1">IFERROR(T194/(1+WACC!$G$16)^T197,"")</f>
        <v>62434.874375698811</v>
      </c>
      <c r="U217" s="165">
        <f ca="1">IFERROR(U194/(1+WACC!$G$16)^U197,"")</f>
        <v>118013.75562152211</v>
      </c>
      <c r="V217" s="165">
        <f ca="1">IFERROR(V194/(1+WACC!$G$16)^V197,"")</f>
        <v>168776.63137724911</v>
      </c>
      <c r="W217" s="165">
        <f ca="1">IFERROR(W194/(1+WACC!$G$16)^W197,"")</f>
        <v>225946.99551395193</v>
      </c>
      <c r="X217" s="165">
        <f ca="1">IFERROR(X194/(1+WACC!$G$16)^X197,"")</f>
        <v>284176.93129488121</v>
      </c>
      <c r="Y217" s="165">
        <f ca="1">IFERROR(Y194/(1+WACC!$G$16)^Y197,"")</f>
        <v>362126.08591298934</v>
      </c>
      <c r="Z217" s="777">
        <f ca="1">IFERROR(Z194/(1+WACC!$G$16)^Z197,"")</f>
        <v>446003.52271119814</v>
      </c>
      <c r="AA217" s="106"/>
      <c r="AB217" s="106"/>
      <c r="AC217" s="106"/>
      <c r="AD217" s="106"/>
      <c r="AE217" s="106"/>
      <c r="AF217" s="106"/>
      <c r="AG217" s="106"/>
      <c r="AH217" s="106"/>
      <c r="AI217" s="106"/>
      <c r="AJ217" s="106"/>
      <c r="AK217" s="106"/>
      <c r="AL217" s="106"/>
    </row>
    <row r="218" spans="1:38" hidden="1">
      <c r="B218" s="167" t="s">
        <v>456</v>
      </c>
      <c r="C218" s="168"/>
      <c r="D218" s="168"/>
      <c r="E218" s="168"/>
      <c r="F218" s="168"/>
      <c r="G218" s="169"/>
      <c r="H218" s="170">
        <f ca="1">IFERROR((H66*H80)/(1+WACC!$G$20)^H197,"")</f>
        <v>0</v>
      </c>
      <c r="I218" s="170">
        <f ca="1">IFERROR((I66*I80)/(1+WACC!$G$20)^I197,"")</f>
        <v>0</v>
      </c>
      <c r="J218" s="170">
        <f ca="1">IFERROR((J66*J80)/(1+WACC!$G$20)^J197,"")</f>
        <v>0</v>
      </c>
      <c r="K218" s="170">
        <f ca="1">IFERROR((K66*K80)/(1+WACC!$G$20)^K197,"")</f>
        <v>0</v>
      </c>
      <c r="L218" s="170">
        <f ca="1">IFERROR((L66*L80)/(1+WACC!$G$20)^L197,"")</f>
        <v>0</v>
      </c>
      <c r="M218" s="170">
        <f ca="1">IFERROR((M66*M80)/(1+WACC!$G$20)^M197,"")</f>
        <v>0</v>
      </c>
      <c r="N218" s="170">
        <f ca="1">IFERROR((N66*N80)/(1+WACC!$G$20)^N197,"")</f>
        <v>0</v>
      </c>
      <c r="O218" s="170">
        <f ca="1">IFERROR((O66*O80)/(1+WACC!$G$20)^O197,"")</f>
        <v>0</v>
      </c>
      <c r="P218" s="170">
        <f ca="1">IFERROR((P66*P80)/(1+WACC!$G$20)^P197,"")</f>
        <v>0</v>
      </c>
      <c r="Q218" s="170">
        <f ca="1">IFERROR((Q66*Q80)/(1+WACC!$G$20)^Q197,"")</f>
        <v>0</v>
      </c>
      <c r="R218" s="170">
        <f ca="1">IFERROR((R66*R80)/(1+WACC!$G$20)^R197,"")</f>
        <v>0</v>
      </c>
      <c r="S218" s="170">
        <f ca="1">IFERROR((S66*S80)/(1+WACC!$G$20)^S197,"")</f>
        <v>0</v>
      </c>
      <c r="T218" s="170">
        <f ca="1">IFERROR((T66*T80)/(1+WACC!$G$20)^T197,"")</f>
        <v>0</v>
      </c>
      <c r="U218" s="170">
        <f ca="1">IFERROR((U66*U80)/(1+WACC!$G$20)^U197,"")</f>
        <v>0</v>
      </c>
      <c r="V218" s="170">
        <f ca="1">IFERROR((V66*V80)/(1+WACC!$G$20)^V197,"")</f>
        <v>0</v>
      </c>
      <c r="W218" s="170">
        <f ca="1">IFERROR((W66*W80)/(1+WACC!$G$20)^W197,"")</f>
        <v>0</v>
      </c>
      <c r="X218" s="170">
        <f ca="1">IFERROR((X66*X80)/(1+WACC!$G$20)^X197,"")</f>
        <v>0</v>
      </c>
      <c r="Y218" s="170">
        <f ca="1">IFERROR((Y66*Y80)/(1+WACC!$G$20)^Y197,"")</f>
        <v>0</v>
      </c>
      <c r="Z218" s="776">
        <f ca="1">IFERROR((Z66*Z80)/(1+WACC!$G$20)^Z197,"")</f>
        <v>0</v>
      </c>
      <c r="AA218" s="106"/>
      <c r="AB218" s="106"/>
      <c r="AC218" s="106"/>
      <c r="AD218" s="106"/>
      <c r="AE218" s="106"/>
      <c r="AF218" s="106"/>
      <c r="AG218" s="106"/>
      <c r="AH218" s="106"/>
      <c r="AI218" s="106"/>
      <c r="AJ218" s="106"/>
      <c r="AK218" s="106"/>
      <c r="AL218" s="106"/>
    </row>
    <row r="219" spans="1:38" ht="3.75" hidden="1" customHeight="1">
      <c r="B219" s="129"/>
      <c r="C219" s="129"/>
      <c r="D219" s="129"/>
      <c r="E219" s="129"/>
      <c r="F219" s="129"/>
      <c r="G219" s="182"/>
      <c r="H219" s="129"/>
      <c r="I219" s="129"/>
      <c r="J219" s="129"/>
      <c r="K219" s="129"/>
      <c r="L219" s="129"/>
      <c r="M219" s="129"/>
      <c r="N219" s="129"/>
      <c r="O219" s="129"/>
      <c r="P219" s="129"/>
      <c r="Q219" s="183"/>
      <c r="R219" s="183"/>
      <c r="S219" s="183"/>
      <c r="T219" s="183"/>
      <c r="U219" s="183"/>
      <c r="V219" s="183"/>
      <c r="W219" s="183"/>
      <c r="X219" s="183"/>
      <c r="Y219" s="183"/>
      <c r="Z219" s="183"/>
      <c r="AA219" s="106"/>
      <c r="AB219" s="106"/>
      <c r="AC219" s="106"/>
      <c r="AD219" s="106"/>
      <c r="AE219" s="106"/>
      <c r="AF219" s="106"/>
      <c r="AG219" s="106"/>
      <c r="AH219" s="106"/>
      <c r="AI219" s="106"/>
      <c r="AJ219" s="106"/>
      <c r="AK219" s="106"/>
      <c r="AL219" s="106"/>
    </row>
    <row r="220" spans="1:38" ht="15.75" hidden="1">
      <c r="B220" s="105" t="s">
        <v>457</v>
      </c>
      <c r="C220" s="129"/>
      <c r="D220" s="129"/>
      <c r="E220" s="129"/>
      <c r="F220" s="129"/>
      <c r="G220" s="182"/>
      <c r="H220" s="129"/>
      <c r="I220" s="129"/>
      <c r="J220" s="129"/>
      <c r="K220" s="129"/>
      <c r="L220" s="129"/>
      <c r="M220" s="129"/>
      <c r="N220" s="129"/>
      <c r="O220" s="129"/>
      <c r="P220" s="129"/>
      <c r="Q220" s="148">
        <f ca="1">IFERROR((Q194*(1+$C$13))/(WACC!$G$16-DCF!$C$13),"")</f>
        <v>-3412996.3250004076</v>
      </c>
      <c r="R220" s="148">
        <f ca="1">IFERROR((R194*(1+$C$13))/(WACC!$G$16-DCF!$C$13),"")</f>
        <v>-876557.13682224893</v>
      </c>
      <c r="S220" s="148">
        <f ca="1">IFERROR((S194*(1+$C$13))/(WACC!$G$16-DCF!$C$13),"")</f>
        <v>108374.74273359442</v>
      </c>
      <c r="T220" s="148">
        <f ca="1">IFERROR((T194*(1+$C$13))/(WACC!$G$16-DCF!$C$13),"")</f>
        <v>2538025.5312806177</v>
      </c>
      <c r="U220" s="148">
        <f ca="1">IFERROR((U194*(1+$C$13))/(WACC!$G$16-DCF!$C$13),"")</f>
        <v>5397738.5625246316</v>
      </c>
      <c r="V220" s="148">
        <f ca="1">IFERROR((V194*(1+$C$13))/(WACC!$G$16-DCF!$C$13),"")</f>
        <v>8685643.4834816046</v>
      </c>
      <c r="W220" s="148">
        <f ca="1">IFERROR((W194*(1+$C$13))/(WACC!$G$16-DCF!$C$13),"")</f>
        <v>13082981.44297293</v>
      </c>
      <c r="X220" s="148">
        <f ca="1">IFERROR((X194*(1+$C$13))/(WACC!$G$16-DCF!$C$13),"")</f>
        <v>18513965.278292395</v>
      </c>
      <c r="Y220" s="148">
        <f ca="1">IFERROR((Y194*(1+$C$13))/(WACC!$G$16-DCF!$C$13),"")</f>
        <v>26544888.49343105</v>
      </c>
      <c r="Z220" s="148">
        <f ca="1">IFERROR((Z194*(1+$C$13))/(WACC!$G$16-DCF!$C$13),"")</f>
        <v>36784923.217070155</v>
      </c>
      <c r="AA220" s="106"/>
      <c r="AB220" s="106"/>
      <c r="AC220" s="106"/>
      <c r="AD220" s="106"/>
      <c r="AE220" s="106"/>
      <c r="AF220" s="106"/>
      <c r="AG220" s="106"/>
      <c r="AH220" s="106"/>
      <c r="AI220" s="106"/>
      <c r="AJ220" s="106"/>
      <c r="AK220" s="106"/>
      <c r="AL220" s="106"/>
    </row>
    <row r="221" spans="1:38" ht="15.75" hidden="1">
      <c r="B221" s="105" t="s">
        <v>458</v>
      </c>
      <c r="C221" s="129"/>
      <c r="D221" s="129"/>
      <c r="E221" s="129"/>
      <c r="F221" s="129"/>
      <c r="G221" s="182"/>
      <c r="H221" s="129"/>
      <c r="I221" s="129"/>
      <c r="J221" s="129"/>
      <c r="K221" s="129"/>
      <c r="L221" s="129"/>
      <c r="M221" s="129"/>
      <c r="N221" s="129"/>
      <c r="O221" s="129"/>
      <c r="P221" s="129"/>
      <c r="Q221" s="148">
        <f ca="1">IFERROR(Q220/(1+WACC!$G$16)^$Q$197,"")</f>
        <v>-1160082.5486202396</v>
      </c>
      <c r="R221" s="148">
        <f ca="1">IFERROR(R220/(1+WACC!$G$16)^$Q$197,"")</f>
        <v>-297943.08005763619</v>
      </c>
      <c r="S221" s="148">
        <f ca="1">IFERROR(S220/(1+WACC!$G$16)^$Q$197,"")</f>
        <v>36836.736926880811</v>
      </c>
      <c r="T221" s="148">
        <f ca="1">IFERROR(T220/(1+WACC!$G$16)^$Q$197,"")</f>
        <v>862678.6689525384</v>
      </c>
      <c r="U221" s="148">
        <f ca="1">IFERROR(U220/(1+WACC!$G$16)^$Q$197,"")</f>
        <v>1834699.399624632</v>
      </c>
      <c r="V221" s="148">
        <f ca="1">IFERROR(V220/(1+WACC!$G$16)^$Q$197,"")</f>
        <v>2952263.1931702746</v>
      </c>
      <c r="W221" s="148">
        <f ca="1">IFERROR(W220/(1+WACC!$G$16)^$Q$197,"")</f>
        <v>4446924.9335958557</v>
      </c>
      <c r="X221" s="148">
        <f ca="1">IFERROR(X220/(1+WACC!$G$16)^$Q$197,"")</f>
        <v>6292924.4510995774</v>
      </c>
      <c r="Y221" s="148">
        <f ca="1">IFERROR(Y220/(1+WACC!$G$16)^$Q$197,"")</f>
        <v>9022647.2471504603</v>
      </c>
      <c r="Z221" s="148">
        <f ca="1">IFERROR(Z220/(1+WACC!$G$16)^$Q$197,"")</f>
        <v>12503250.344535155</v>
      </c>
      <c r="AA221" s="106"/>
      <c r="AB221" s="106"/>
      <c r="AC221" s="106"/>
      <c r="AD221" s="106"/>
      <c r="AE221" s="106"/>
      <c r="AF221" s="106"/>
      <c r="AG221" s="106"/>
      <c r="AH221" s="106"/>
      <c r="AI221" s="106"/>
      <c r="AJ221" s="106"/>
      <c r="AK221" s="106"/>
      <c r="AL221" s="106"/>
    </row>
    <row r="222" spans="1:38" ht="15.75" hidden="1">
      <c r="B222" s="105" t="s">
        <v>459</v>
      </c>
      <c r="C222" s="129"/>
      <c r="D222" s="129"/>
      <c r="E222" s="129"/>
      <c r="F222" s="129"/>
      <c r="G222" s="182"/>
      <c r="H222" s="129"/>
      <c r="I222" s="129"/>
      <c r="J222" s="129"/>
      <c r="K222" s="129"/>
      <c r="L222" s="129"/>
      <c r="M222" s="129"/>
      <c r="N222" s="129"/>
      <c r="O222" s="129"/>
      <c r="P222" s="129"/>
      <c r="Q222" s="148">
        <f ca="1">IFERROR((Q218*(1+$C$13))/(WACC!$G$16-$C$13),"")</f>
        <v>0</v>
      </c>
      <c r="R222" s="148">
        <f ca="1">IFERROR((R218*(1+$C$13))/(WACC!$G$16-$C$13),"")</f>
        <v>0</v>
      </c>
      <c r="S222" s="148">
        <f ca="1">IFERROR((S218*(1+$C$13))/(WACC!$G$16-$C$13),"")</f>
        <v>0</v>
      </c>
      <c r="T222" s="148">
        <f ca="1">IFERROR((T218*(1+$C$13))/(WACC!$G$16-$C$13),"")</f>
        <v>0</v>
      </c>
      <c r="U222" s="148">
        <f ca="1">IFERROR((U218*(1+$C$13))/(WACC!$G$16-$C$13),"")</f>
        <v>0</v>
      </c>
      <c r="V222" s="148">
        <f ca="1">IFERROR((V218*(1+$C$13))/(WACC!$G$16-$C$13),"")</f>
        <v>0</v>
      </c>
      <c r="W222" s="148">
        <f ca="1">IFERROR((W218*(1+$C$13))/(WACC!$G$16-$C$13),"")</f>
        <v>0</v>
      </c>
      <c r="X222" s="148">
        <f ca="1">IFERROR((X218*(1+$C$13))/(WACC!$G$16-$C$13),"")</f>
        <v>0</v>
      </c>
      <c r="Y222" s="148">
        <f ca="1">IFERROR((Y218*(1+$C$13))/(WACC!$G$16-$C$13),"")</f>
        <v>0</v>
      </c>
      <c r="Z222" s="148">
        <f ca="1">IFERROR((Z218*(1+$C$13))/(WACC!$G$16-$C$13),"")</f>
        <v>0</v>
      </c>
      <c r="AA222" s="106"/>
      <c r="AB222" s="106"/>
      <c r="AC222" s="106"/>
      <c r="AD222" s="106"/>
      <c r="AE222" s="106"/>
      <c r="AF222" s="106"/>
      <c r="AG222" s="106"/>
      <c r="AH222" s="106"/>
      <c r="AI222" s="106"/>
      <c r="AJ222" s="106"/>
      <c r="AK222" s="106"/>
      <c r="AL222" s="106"/>
    </row>
    <row r="223" spans="1:38" ht="15.75" hidden="1">
      <c r="B223" s="105" t="s">
        <v>460</v>
      </c>
      <c r="C223" s="129"/>
      <c r="D223" s="129"/>
      <c r="E223" s="129"/>
      <c r="F223" s="129"/>
      <c r="G223" s="182"/>
      <c r="H223" s="129"/>
      <c r="I223" s="129"/>
      <c r="J223" s="129"/>
      <c r="K223" s="129"/>
      <c r="L223" s="129"/>
      <c r="M223" s="129"/>
      <c r="N223" s="129"/>
      <c r="O223" s="129"/>
      <c r="P223" s="129"/>
      <c r="Q223" s="148">
        <f ca="1">IFERROR(Q222/(1+WACC!$G$18)^$Q$197,"")</f>
        <v>0</v>
      </c>
      <c r="R223" s="148">
        <f ca="1">IFERROR(R222/(1+WACC!$G$18)^$Q$197,"")</f>
        <v>0</v>
      </c>
      <c r="S223" s="148">
        <f ca="1">IFERROR(S222/(1+WACC!$G$18)^$Q$197,"")</f>
        <v>0</v>
      </c>
      <c r="T223" s="148">
        <f ca="1">IFERROR(T222/(1+WACC!$G$18)^$Q$197,"")</f>
        <v>0</v>
      </c>
      <c r="U223" s="148">
        <f ca="1">IFERROR(U222/(1+WACC!$G$18)^$Q$197,"")</f>
        <v>0</v>
      </c>
      <c r="V223" s="148">
        <f ca="1">IFERROR(V222/(1+WACC!$G$18)^$Q$197,"")</f>
        <v>0</v>
      </c>
      <c r="W223" s="148">
        <f ca="1">IFERROR(W222/(1+WACC!$G$18)^$Q$197,"")</f>
        <v>0</v>
      </c>
      <c r="X223" s="148">
        <f ca="1">IFERROR(X222/(1+WACC!$G$18)^$Q$197,"")</f>
        <v>0</v>
      </c>
      <c r="Y223" s="148">
        <f ca="1">IFERROR(Y222/(1+WACC!$G$18)^$Q$197,"")</f>
        <v>0</v>
      </c>
      <c r="Z223" s="148">
        <f ca="1">IFERROR(Z222/(1+WACC!$G$18)^$Q$197,"")</f>
        <v>0</v>
      </c>
      <c r="AA223" s="106"/>
      <c r="AB223" s="106"/>
      <c r="AC223" s="106"/>
      <c r="AD223" s="106"/>
      <c r="AE223" s="106"/>
      <c r="AF223" s="106"/>
      <c r="AG223" s="106"/>
      <c r="AH223" s="106"/>
      <c r="AI223" s="106"/>
      <c r="AJ223" s="106"/>
      <c r="AK223" s="106"/>
      <c r="AL223" s="106"/>
    </row>
    <row r="224" spans="1:38" hidden="1">
      <c r="B224" s="105" t="s">
        <v>461</v>
      </c>
      <c r="G224" s="127"/>
      <c r="AA224" s="148">
        <f ca="1">+SUM(H217:Q218,Q221,Q223)</f>
        <v>-2953084.2712432146</v>
      </c>
      <c r="AB224" s="106"/>
      <c r="AC224" s="106"/>
      <c r="AD224" s="106"/>
      <c r="AE224" s="106"/>
      <c r="AF224" s="106"/>
      <c r="AG224" s="106"/>
      <c r="AH224" s="106"/>
      <c r="AI224" s="106"/>
      <c r="AJ224" s="106"/>
      <c r="AK224" s="106"/>
      <c r="AL224" s="106"/>
    </row>
    <row r="225" spans="1:38" hidden="1">
      <c r="B225" s="105" t="s">
        <v>202</v>
      </c>
      <c r="G225" s="127"/>
      <c r="AA225" s="148">
        <f ca="1">+AA224-Z203+Z204+Z205+Z206</f>
        <v>-3275648.2712432146</v>
      </c>
      <c r="AB225" s="106"/>
      <c r="AC225" s="106"/>
      <c r="AD225" s="106"/>
      <c r="AE225" s="106"/>
      <c r="AF225" s="106"/>
      <c r="AG225" s="106"/>
      <c r="AH225" s="106"/>
      <c r="AI225" s="106"/>
      <c r="AJ225" s="106"/>
      <c r="AK225" s="106"/>
      <c r="AL225" s="106"/>
    </row>
    <row r="226" spans="1:38" ht="15.75" hidden="1">
      <c r="B226" s="129" t="s">
        <v>451</v>
      </c>
      <c r="C226" s="129"/>
      <c r="D226" s="129"/>
      <c r="E226" s="129"/>
      <c r="F226" s="129"/>
      <c r="G226" s="182"/>
      <c r="H226" s="129"/>
      <c r="I226" s="129"/>
      <c r="J226" s="129"/>
      <c r="K226" s="129"/>
      <c r="L226" s="129"/>
      <c r="M226" s="129"/>
      <c r="N226" s="129"/>
      <c r="O226" s="129"/>
      <c r="P226" s="129"/>
      <c r="AA226" s="369">
        <f ca="1">IFERROR(AA225/Z209,"")</f>
        <v>-11.003835870858385</v>
      </c>
      <c r="AB226" s="106"/>
      <c r="AC226" s="106"/>
      <c r="AD226" s="106"/>
      <c r="AE226" s="106"/>
      <c r="AF226" s="106"/>
      <c r="AG226" s="106"/>
      <c r="AH226" s="106"/>
      <c r="AI226" s="106"/>
      <c r="AJ226" s="106"/>
      <c r="AK226" s="106"/>
      <c r="AL226" s="106"/>
    </row>
    <row r="227" spans="1:38" ht="3.75" hidden="1" customHeight="1">
      <c r="B227" s="129"/>
      <c r="C227" s="129"/>
      <c r="D227" s="129"/>
      <c r="E227" s="129"/>
      <c r="F227" s="129"/>
      <c r="G227" s="182"/>
      <c r="H227" s="129"/>
      <c r="I227" s="129"/>
      <c r="J227" s="129"/>
      <c r="K227" s="129"/>
      <c r="L227" s="129"/>
      <c r="M227" s="129"/>
      <c r="N227" s="129"/>
      <c r="O227" s="129"/>
      <c r="P227" s="129"/>
      <c r="AA227" s="369"/>
      <c r="AB227" s="106"/>
      <c r="AC227" s="106"/>
      <c r="AD227" s="106"/>
      <c r="AE227" s="106"/>
      <c r="AF227" s="106"/>
      <c r="AG227" s="106"/>
      <c r="AH227" s="106"/>
      <c r="AI227" s="106"/>
      <c r="AJ227" s="106"/>
      <c r="AK227" s="106"/>
      <c r="AL227" s="106"/>
    </row>
    <row r="228" spans="1:38" ht="15.75" hidden="1">
      <c r="B228" s="370" t="s">
        <v>453</v>
      </c>
      <c r="C228" s="129"/>
      <c r="D228" s="129"/>
      <c r="E228" s="129"/>
      <c r="F228" s="129"/>
      <c r="G228" s="182"/>
      <c r="H228" s="129"/>
      <c r="I228" s="129"/>
      <c r="J228" s="129"/>
      <c r="K228" s="129"/>
      <c r="L228" s="129"/>
      <c r="M228" s="129"/>
      <c r="N228" s="129"/>
      <c r="O228" s="129"/>
      <c r="P228" s="129"/>
      <c r="AA228" s="183">
        <f ca="1">IFERROR(AA226/Z212-1,"")</f>
        <v>-1.2000406462852382</v>
      </c>
      <c r="AB228" s="106"/>
      <c r="AC228" s="106"/>
      <c r="AD228" s="106"/>
      <c r="AE228" s="106"/>
      <c r="AF228" s="106"/>
      <c r="AG228" s="106"/>
      <c r="AH228" s="106"/>
      <c r="AI228" s="106"/>
      <c r="AJ228" s="106"/>
      <c r="AK228" s="106"/>
      <c r="AL228" s="106"/>
    </row>
    <row r="229" spans="1:38" ht="3.75" hidden="1" customHeight="1">
      <c r="G229" s="127"/>
    </row>
    <row r="230" spans="1:38" ht="15.75" hidden="1">
      <c r="A230" s="105" t="s">
        <v>349</v>
      </c>
      <c r="B230" s="43" t="s">
        <v>462</v>
      </c>
      <c r="C230" s="43"/>
      <c r="D230" s="43"/>
      <c r="E230" s="116">
        <f>E28</f>
        <v>2022</v>
      </c>
      <c r="F230" s="116">
        <f>F28</f>
        <v>2023</v>
      </c>
      <c r="G230" s="117">
        <f>G28</f>
        <v>2024</v>
      </c>
      <c r="H230" s="88">
        <f t="shared" ref="H230:P230" si="154">1+G230</f>
        <v>2025</v>
      </c>
      <c r="I230" s="88">
        <f t="shared" si="154"/>
        <v>2026</v>
      </c>
      <c r="J230" s="88">
        <f t="shared" si="154"/>
        <v>2027</v>
      </c>
      <c r="K230" s="88">
        <f t="shared" si="154"/>
        <v>2028</v>
      </c>
      <c r="L230" s="88">
        <f t="shared" si="154"/>
        <v>2029</v>
      </c>
      <c r="M230" s="88">
        <f t="shared" si="154"/>
        <v>2030</v>
      </c>
      <c r="N230" s="88">
        <f t="shared" si="154"/>
        <v>2031</v>
      </c>
      <c r="O230" s="88">
        <f t="shared" si="154"/>
        <v>2032</v>
      </c>
      <c r="P230" s="88">
        <f t="shared" si="154"/>
        <v>2033</v>
      </c>
      <c r="Q230" s="88">
        <f t="shared" ref="Q230:Z230" si="155">1+P230</f>
        <v>2034</v>
      </c>
      <c r="R230" s="88">
        <f t="shared" si="155"/>
        <v>2035</v>
      </c>
      <c r="S230" s="88">
        <f t="shared" si="155"/>
        <v>2036</v>
      </c>
      <c r="T230" s="88">
        <f t="shared" si="155"/>
        <v>2037</v>
      </c>
      <c r="U230" s="88">
        <f t="shared" si="155"/>
        <v>2038</v>
      </c>
      <c r="V230" s="88">
        <f t="shared" si="155"/>
        <v>2039</v>
      </c>
      <c r="W230" s="88">
        <f t="shared" si="155"/>
        <v>2040</v>
      </c>
      <c r="X230" s="88">
        <f t="shared" si="155"/>
        <v>2041</v>
      </c>
      <c r="Y230" s="88">
        <f t="shared" si="155"/>
        <v>2042</v>
      </c>
      <c r="Z230" s="88">
        <f t="shared" si="155"/>
        <v>2043</v>
      </c>
    </row>
    <row r="231" spans="1:38" ht="3.75" hidden="1" customHeight="1">
      <c r="B231" s="44"/>
      <c r="C231" s="44"/>
      <c r="D231" s="44"/>
      <c r="E231" s="44"/>
      <c r="F231" s="44"/>
      <c r="G231" s="184"/>
      <c r="H231" s="44"/>
      <c r="I231" s="44"/>
      <c r="J231" s="44"/>
      <c r="K231" s="44"/>
      <c r="L231" s="44"/>
      <c r="M231" s="44"/>
      <c r="N231" s="44"/>
      <c r="O231" s="44"/>
      <c r="P231" s="44"/>
      <c r="Q231" s="44"/>
      <c r="R231" s="44"/>
      <c r="S231" s="44"/>
      <c r="T231" s="44"/>
      <c r="U231" s="44"/>
      <c r="V231" s="44"/>
      <c r="W231" s="44"/>
      <c r="X231" s="44"/>
      <c r="Y231" s="44"/>
      <c r="Z231" s="44"/>
    </row>
    <row r="232" spans="1:38" hidden="1">
      <c r="B232" s="105" t="s">
        <v>362</v>
      </c>
      <c r="E232" s="131">
        <f t="shared" ref="E232:Z232" si="156">+E60</f>
        <v>-85746</v>
      </c>
      <c r="F232" s="131">
        <f t="shared" si="156"/>
        <v>-157754</v>
      </c>
      <c r="G232" s="162">
        <f t="shared" si="156"/>
        <v>-232455</v>
      </c>
      <c r="H232" s="156">
        <f t="shared" si="156"/>
        <v>-284339.76428650424</v>
      </c>
      <c r="I232" s="156">
        <f t="shared" si="156"/>
        <v>-348569.32827352494</v>
      </c>
      <c r="J232" s="156">
        <f t="shared" si="156"/>
        <v>-421384.74295409478</v>
      </c>
      <c r="K232" s="156">
        <f t="shared" si="156"/>
        <v>-506550.57081619487</v>
      </c>
      <c r="L232" s="156">
        <f t="shared" si="156"/>
        <v>-566605.5606781384</v>
      </c>
      <c r="M232" s="156">
        <f t="shared" si="156"/>
        <v>-610056.12349045067</v>
      </c>
      <c r="N232" s="156">
        <f t="shared" si="156"/>
        <v>-614102.6762904271</v>
      </c>
      <c r="O232" s="156">
        <f t="shared" si="156"/>
        <v>-573108.83374454034</v>
      </c>
      <c r="P232" s="156">
        <f t="shared" si="156"/>
        <v>-525957.67322540132</v>
      </c>
      <c r="Q232" s="156">
        <f t="shared" si="156"/>
        <v>-436747.97516547493</v>
      </c>
      <c r="R232" s="156">
        <f t="shared" si="156"/>
        <v>-304689.34572644805</v>
      </c>
      <c r="S232" s="156">
        <f t="shared" si="156"/>
        <v>-130933.29490871512</v>
      </c>
      <c r="T232" s="156">
        <f t="shared" si="156"/>
        <v>97890.496283766348</v>
      </c>
      <c r="U232" s="156">
        <f t="shared" si="156"/>
        <v>423148.62799164746</v>
      </c>
      <c r="V232" s="156">
        <f t="shared" si="156"/>
        <v>840586.43892634846</v>
      </c>
      <c r="W232" s="156">
        <f t="shared" si="156"/>
        <v>1372717.9843339426</v>
      </c>
      <c r="X232" s="156">
        <f t="shared" si="156"/>
        <v>1879459.8634499302</v>
      </c>
      <c r="Y232" s="156">
        <f t="shared" si="156"/>
        <v>2494365.0097880885</v>
      </c>
      <c r="Z232" s="156">
        <f t="shared" si="156"/>
        <v>3239542.0048592156</v>
      </c>
    </row>
    <row r="233" spans="1:38" ht="3.75" hidden="1" customHeight="1">
      <c r="G233" s="127"/>
    </row>
    <row r="234" spans="1:38" ht="15" hidden="1" customHeight="1">
      <c r="B234" s="105" t="s">
        <v>264</v>
      </c>
      <c r="E234" s="148">
        <f t="shared" ref="E234:Z234" si="157">+E82</f>
        <v>-48511</v>
      </c>
      <c r="F234" s="148">
        <f t="shared" si="157"/>
        <v>-157723.04800000001</v>
      </c>
      <c r="G234" s="185">
        <f t="shared" si="157"/>
        <v>-331588.05900000001</v>
      </c>
      <c r="H234" s="148">
        <f t="shared" si="157"/>
        <v>-281444.94711967168</v>
      </c>
      <c r="I234" s="148">
        <f t="shared" si="157"/>
        <v>-378564.18711386248</v>
      </c>
      <c r="J234" s="148">
        <f t="shared" si="157"/>
        <v>-471590.42248929042</v>
      </c>
      <c r="K234" s="148">
        <f t="shared" si="157"/>
        <v>-549528.66427812737</v>
      </c>
      <c r="L234" s="148">
        <f t="shared" si="157"/>
        <v>-643240.6962690627</v>
      </c>
      <c r="M234" s="148">
        <f t="shared" si="157"/>
        <v>-707658.16726115963</v>
      </c>
      <c r="N234" s="148">
        <f t="shared" si="157"/>
        <v>-751463.04257561022</v>
      </c>
      <c r="O234" s="148">
        <f t="shared" si="157"/>
        <v>-773663.07395168475</v>
      </c>
      <c r="P234" s="148">
        <f t="shared" si="157"/>
        <v>-767781.7982795292</v>
      </c>
      <c r="Q234" s="148">
        <f t="shared" si="157"/>
        <v>-752149.41306088283</v>
      </c>
      <c r="R234" s="148">
        <f t="shared" si="157"/>
        <v>-708834.9490327785</v>
      </c>
      <c r="S234" s="148">
        <f t="shared" si="157"/>
        <v>-614905.68423642835</v>
      </c>
      <c r="T234" s="148">
        <f t="shared" si="157"/>
        <v>-500465.3662056519</v>
      </c>
      <c r="U234" s="148">
        <f t="shared" si="157"/>
        <v>-314628.25281878817</v>
      </c>
      <c r="V234" s="148">
        <f t="shared" si="157"/>
        <v>-60179.591773418302</v>
      </c>
      <c r="W234" s="148">
        <f t="shared" si="157"/>
        <v>271548.28857079358</v>
      </c>
      <c r="X234" s="148">
        <f t="shared" si="157"/>
        <v>610350.30552126712</v>
      </c>
      <c r="Y234" s="148">
        <f t="shared" si="157"/>
        <v>1005922.444059617</v>
      </c>
      <c r="Z234" s="148">
        <f t="shared" si="157"/>
        <v>1498459.0561067117</v>
      </c>
    </row>
    <row r="235" spans="1:38" ht="3.75" hidden="1" customHeight="1">
      <c r="G235" s="127"/>
    </row>
    <row r="236" spans="1:38" ht="15" hidden="1" customHeight="1">
      <c r="B236" s="105" t="s">
        <v>384</v>
      </c>
      <c r="E236" s="186">
        <f t="shared" ref="E236:Z236" si="158">+E124</f>
        <v>5604</v>
      </c>
      <c r="F236" s="186">
        <f t="shared" si="158"/>
        <v>10375</v>
      </c>
      <c r="G236" s="187">
        <f t="shared" si="158"/>
        <v>18654</v>
      </c>
      <c r="H236" s="186">
        <f t="shared" si="158"/>
        <v>21834.814286504286</v>
      </c>
      <c r="I236" s="186">
        <f t="shared" si="158"/>
        <v>31475.283223524959</v>
      </c>
      <c r="J236" s="186">
        <f t="shared" si="158"/>
        <v>47744.802863469769</v>
      </c>
      <c r="K236" s="186">
        <f t="shared" si="158"/>
        <v>66750.502557405765</v>
      </c>
      <c r="L236" s="186">
        <f t="shared" si="158"/>
        <v>94779.189456924985</v>
      </c>
      <c r="M236" s="186">
        <f t="shared" si="158"/>
        <v>128858.63570417673</v>
      </c>
      <c r="N236" s="186">
        <f t="shared" si="158"/>
        <v>172020.46985853932</v>
      </c>
      <c r="O236" s="186">
        <f t="shared" si="158"/>
        <v>223000.07946129324</v>
      </c>
      <c r="P236" s="186">
        <f t="shared" si="158"/>
        <v>289069.15763685445</v>
      </c>
      <c r="Q236" s="186">
        <f t="shared" si="158"/>
        <v>360460.5360560948</v>
      </c>
      <c r="R236" s="186">
        <f t="shared" si="158"/>
        <v>450444.74257988989</v>
      </c>
      <c r="S236" s="186">
        <f t="shared" si="158"/>
        <v>528175.42343436345</v>
      </c>
      <c r="T236" s="186">
        <f t="shared" si="158"/>
        <v>623016.87240338686</v>
      </c>
      <c r="U236" s="186">
        <f t="shared" si="158"/>
        <v>711497.90067306883</v>
      </c>
      <c r="V236" s="186">
        <f t="shared" si="158"/>
        <v>820258.53128121444</v>
      </c>
      <c r="W236" s="186">
        <f t="shared" si="158"/>
        <v>954780.63801130687</v>
      </c>
      <c r="X236" s="186">
        <f t="shared" si="158"/>
        <v>1121731.9242011947</v>
      </c>
      <c r="Y236" s="186">
        <f t="shared" si="158"/>
        <v>1321016.1318070411</v>
      </c>
      <c r="Z236" s="186">
        <f t="shared" si="158"/>
        <v>1559352.9400793139</v>
      </c>
    </row>
    <row r="237" spans="1:38" ht="3.95" hidden="1" customHeight="1">
      <c r="B237" s="132"/>
      <c r="E237" s="188"/>
      <c r="F237" s="188"/>
      <c r="G237" s="189"/>
      <c r="H237" s="190"/>
      <c r="I237" s="190"/>
      <c r="J237" s="190"/>
      <c r="K237" s="190"/>
      <c r="L237" s="190"/>
      <c r="M237" s="190"/>
      <c r="N237" s="190"/>
      <c r="O237" s="190"/>
      <c r="P237" s="190"/>
      <c r="Q237" s="190"/>
      <c r="R237" s="190"/>
      <c r="S237" s="190"/>
      <c r="T237" s="190"/>
      <c r="U237" s="190"/>
      <c r="V237" s="190"/>
      <c r="W237" s="190"/>
      <c r="X237" s="190"/>
      <c r="Y237" s="190"/>
      <c r="Z237" s="190"/>
    </row>
    <row r="238" spans="1:38" ht="13.5" hidden="1" customHeight="1">
      <c r="B238" s="105" t="s">
        <v>417</v>
      </c>
      <c r="E238" s="148">
        <f t="shared" ref="E238:Z238" si="159">+E126</f>
        <v>31456</v>
      </c>
      <c r="F238" s="148">
        <f t="shared" si="159"/>
        <v>69743</v>
      </c>
      <c r="G238" s="185">
        <f t="shared" si="159"/>
        <v>106878</v>
      </c>
      <c r="H238" s="148">
        <f t="shared" si="159"/>
        <v>111153.12000000001</v>
      </c>
      <c r="I238" s="148">
        <f t="shared" si="159"/>
        <v>115599.24480000001</v>
      </c>
      <c r="J238" s="148">
        <f t="shared" si="159"/>
        <v>120223.21459200002</v>
      </c>
      <c r="K238" s="148">
        <f t="shared" si="159"/>
        <v>125032.14317568003</v>
      </c>
      <c r="L238" s="148">
        <f t="shared" si="159"/>
        <v>130033.42890270724</v>
      </c>
      <c r="M238" s="148">
        <f t="shared" si="159"/>
        <v>133934.43176978847</v>
      </c>
      <c r="N238" s="148">
        <f t="shared" si="159"/>
        <v>137952.46472288211</v>
      </c>
      <c r="O238" s="148">
        <f t="shared" si="159"/>
        <v>142091.03866456856</v>
      </c>
      <c r="P238" s="148">
        <f t="shared" si="159"/>
        <v>146353.76982450564</v>
      </c>
      <c r="Q238" s="148">
        <f t="shared" si="159"/>
        <v>150744.3829192408</v>
      </c>
      <c r="R238" s="148">
        <f t="shared" si="159"/>
        <v>155266.71440681804</v>
      </c>
      <c r="S238" s="148">
        <f t="shared" si="159"/>
        <v>158372.0486949544</v>
      </c>
      <c r="T238" s="148">
        <f t="shared" si="159"/>
        <v>161539.48966885349</v>
      </c>
      <c r="U238" s="148">
        <f t="shared" si="159"/>
        <v>164770.27946223057</v>
      </c>
      <c r="V238" s="148">
        <f t="shared" si="159"/>
        <v>168065.68505147519</v>
      </c>
      <c r="W238" s="148">
        <f t="shared" si="159"/>
        <v>170586.6703272473</v>
      </c>
      <c r="X238" s="148">
        <f t="shared" si="159"/>
        <v>173145.470382156</v>
      </c>
      <c r="Y238" s="148">
        <f t="shared" si="159"/>
        <v>175742.65243788832</v>
      </c>
      <c r="Z238" s="148">
        <f t="shared" si="159"/>
        <v>178378.79222445661</v>
      </c>
    </row>
    <row r="239" spans="1:38" ht="3.95" hidden="1" customHeight="1">
      <c r="B239" s="132"/>
      <c r="E239" s="188"/>
      <c r="F239" s="188"/>
      <c r="G239" s="189"/>
      <c r="H239" s="190"/>
      <c r="I239" s="190"/>
      <c r="J239" s="190"/>
      <c r="K239" s="190"/>
      <c r="L239" s="190"/>
      <c r="M239" s="190"/>
      <c r="N239" s="190"/>
      <c r="O239" s="190"/>
      <c r="P239" s="190"/>
      <c r="Q239" s="190"/>
      <c r="R239" s="190"/>
      <c r="S239" s="190"/>
      <c r="T239" s="190"/>
      <c r="U239" s="190"/>
      <c r="V239" s="190"/>
      <c r="W239" s="190"/>
      <c r="X239" s="190"/>
      <c r="Y239" s="190"/>
      <c r="Z239" s="190"/>
    </row>
    <row r="240" spans="1:38" ht="15" hidden="1" customHeight="1">
      <c r="B240" s="105" t="s">
        <v>437</v>
      </c>
      <c r="E240" s="148">
        <f t="shared" ref="E240:P240" si="160">E190</f>
        <v>-3286</v>
      </c>
      <c r="F240" s="148">
        <f t="shared" si="160"/>
        <v>-16665</v>
      </c>
      <c r="G240" s="185">
        <f t="shared" si="160"/>
        <v>-15754</v>
      </c>
      <c r="H240" s="148">
        <f t="shared" si="160"/>
        <v>14078.576438356169</v>
      </c>
      <c r="I240" s="148">
        <f t="shared" si="160"/>
        <v>-4898.1162374429186</v>
      </c>
      <c r="J240" s="148">
        <f t="shared" si="160"/>
        <v>6779.6234337899659</v>
      </c>
      <c r="K240" s="148">
        <f t="shared" si="160"/>
        <v>1075.8079817351536</v>
      </c>
      <c r="L240" s="148">
        <f t="shared" si="160"/>
        <v>-4565.6993630136712</v>
      </c>
      <c r="M240" s="148">
        <f t="shared" si="160"/>
        <v>13781.61993751899</v>
      </c>
      <c r="N240" s="148">
        <f t="shared" si="160"/>
        <v>6012.3484325241589</v>
      </c>
      <c r="O240" s="148">
        <f t="shared" si="160"/>
        <v>3173.4574440726719</v>
      </c>
      <c r="P240" s="148">
        <f t="shared" si="160"/>
        <v>-5685.036719351483</v>
      </c>
      <c r="Q240" s="148">
        <f t="shared" ref="Q240:Z240" si="161">Q190</f>
        <v>-275.12300398573279</v>
      </c>
      <c r="R240" s="148">
        <f t="shared" si="161"/>
        <v>-6662.5193438868737</v>
      </c>
      <c r="S240" s="148">
        <f t="shared" si="161"/>
        <v>-6916.5230663577677</v>
      </c>
      <c r="T240" s="148">
        <f t="shared" si="161"/>
        <v>-80730.668485352478</v>
      </c>
      <c r="U240" s="148">
        <f t="shared" si="161"/>
        <v>-38566.177791569848</v>
      </c>
      <c r="V240" s="148">
        <f t="shared" si="161"/>
        <v>-48188.278987186728</v>
      </c>
      <c r="W240" s="148">
        <f t="shared" si="161"/>
        <v>-69050.925706048729</v>
      </c>
      <c r="X240" s="148">
        <f t="shared" si="161"/>
        <v>-110883.69937768811</v>
      </c>
      <c r="Y240" s="148">
        <f t="shared" si="161"/>
        <v>-95098.088782026898</v>
      </c>
      <c r="Z240" s="148">
        <f t="shared" si="161"/>
        <v>-129764.14786821138</v>
      </c>
    </row>
    <row r="241" spans="2:27" ht="3.75" hidden="1" customHeight="1">
      <c r="E241" s="148"/>
      <c r="F241" s="148"/>
      <c r="G241" s="185"/>
      <c r="H241" s="148"/>
      <c r="I241" s="148"/>
      <c r="J241" s="148"/>
      <c r="K241" s="148"/>
      <c r="L241" s="148"/>
      <c r="M241" s="148"/>
      <c r="N241" s="148"/>
      <c r="O241" s="148"/>
      <c r="P241" s="148"/>
      <c r="Q241" s="148"/>
      <c r="R241" s="148"/>
      <c r="S241" s="148"/>
      <c r="T241" s="148"/>
      <c r="U241" s="148"/>
      <c r="V241" s="148"/>
      <c r="W241" s="148"/>
      <c r="X241" s="148"/>
      <c r="Y241" s="148"/>
      <c r="Z241" s="148"/>
    </row>
    <row r="242" spans="2:27" ht="15" hidden="1" customHeight="1">
      <c r="B242" s="105" t="s">
        <v>28</v>
      </c>
      <c r="E242" s="131">
        <f>E135</f>
        <v>-12564</v>
      </c>
      <c r="F242" s="131">
        <f>F135</f>
        <v>-19549</v>
      </c>
      <c r="G242" s="162">
        <f>G135</f>
        <v>-23569</v>
      </c>
      <c r="H242" s="131">
        <f t="shared" ref="H242:P242" si="162">H192</f>
        <v>-34458.400000000001</v>
      </c>
      <c r="I242" s="131">
        <f t="shared" si="162"/>
        <v>-55133.440000000002</v>
      </c>
      <c r="J242" s="131">
        <f t="shared" si="162"/>
        <v>-74430.144</v>
      </c>
      <c r="K242" s="131">
        <f t="shared" si="162"/>
        <v>-111645.216</v>
      </c>
      <c r="L242" s="131">
        <f t="shared" si="162"/>
        <v>-148860.28800000003</v>
      </c>
      <c r="M242" s="131">
        <f t="shared" si="162"/>
        <v>-208404.40320000003</v>
      </c>
      <c r="N242" s="131">
        <f t="shared" si="162"/>
        <v>-255295.39391999997</v>
      </c>
      <c r="O242" s="131">
        <f t="shared" si="162"/>
        <v>-357413.55148799997</v>
      </c>
      <c r="P242" s="131">
        <f t="shared" si="162"/>
        <v>-398260.81451519992</v>
      </c>
      <c r="Q242" s="131">
        <f t="shared" ref="Q242:Z242" si="163">Q192</f>
        <v>-517739.0588697599</v>
      </c>
      <c r="R242" s="131">
        <f t="shared" si="163"/>
        <v>-448707.18435379205</v>
      </c>
      <c r="S242" s="131">
        <f t="shared" si="163"/>
        <v>-560883.98044224002</v>
      </c>
      <c r="T242" s="131">
        <f t="shared" si="163"/>
        <v>-525828.73166459997</v>
      </c>
      <c r="U242" s="131">
        <f t="shared" si="163"/>
        <v>-657285.91458074993</v>
      </c>
      <c r="V242" s="131">
        <f t="shared" si="163"/>
        <v>-821607.39322593738</v>
      </c>
      <c r="W242" s="131">
        <f t="shared" si="163"/>
        <v>-1027009.2415324218</v>
      </c>
      <c r="X242" s="131">
        <f t="shared" si="163"/>
        <v>-1232411.0898389062</v>
      </c>
      <c r="Y242" s="131">
        <f t="shared" si="163"/>
        <v>-1478893.3078066874</v>
      </c>
      <c r="Z242" s="131">
        <f t="shared" si="163"/>
        <v>-1774671.969368025</v>
      </c>
    </row>
    <row r="243" spans="2:27" ht="3.75" hidden="1" customHeight="1">
      <c r="G243" s="127"/>
    </row>
    <row r="244" spans="2:27" ht="15" hidden="1" customHeight="1">
      <c r="B244" s="105" t="s">
        <v>463</v>
      </c>
      <c r="E244" s="186">
        <f>+E158-E160</f>
        <v>0</v>
      </c>
      <c r="F244" s="186">
        <f t="shared" ref="F244:G244" si="164">+F158-F160</f>
        <v>0</v>
      </c>
      <c r="G244" s="187">
        <f t="shared" si="164"/>
        <v>0</v>
      </c>
      <c r="H244" s="186">
        <f>IFERROR(H158-H160,"")</f>
        <v>245379.05900000001</v>
      </c>
      <c r="I244" s="186">
        <f t="shared" ref="I244:P244" si="165">IFERROR(I158-I160,"")</f>
        <v>0</v>
      </c>
      <c r="J244" s="186">
        <f t="shared" si="165"/>
        <v>291521.2153277804</v>
      </c>
      <c r="K244" s="186">
        <f t="shared" si="165"/>
        <v>79751.71027225029</v>
      </c>
      <c r="L244" s="186">
        <f t="shared" si="165"/>
        <v>388563.71629105619</v>
      </c>
      <c r="M244" s="186">
        <f t="shared" si="165"/>
        <v>183290.34898138797</v>
      </c>
      <c r="N244" s="186">
        <f t="shared" si="165"/>
        <v>456197.53406828752</v>
      </c>
      <c r="O244" s="186">
        <f t="shared" si="165"/>
        <v>234575.61941337708</v>
      </c>
      <c r="P244" s="186">
        <f t="shared" si="165"/>
        <v>528236.43045637314</v>
      </c>
      <c r="Q244" s="186">
        <f t="shared" ref="Q244:Z244" si="166">IFERROR(Q158-Q160,"")</f>
        <v>208068.29159634735</v>
      </c>
      <c r="R244" s="186">
        <f t="shared" si="166"/>
        <v>550890.38436294545</v>
      </c>
      <c r="S244" s="186">
        <f t="shared" si="166"/>
        <v>7602.8113808040507</v>
      </c>
      <c r="T244" s="186">
        <f t="shared" si="166"/>
        <v>488555.90423490421</v>
      </c>
      <c r="U244" s="186">
        <f t="shared" si="166"/>
        <v>0</v>
      </c>
      <c r="V244" s="186">
        <f t="shared" si="166"/>
        <v>134212.16505580849</v>
      </c>
      <c r="W244" s="186">
        <f t="shared" si="166"/>
        <v>0</v>
      </c>
      <c r="X244" s="186">
        <f t="shared" si="166"/>
        <v>0</v>
      </c>
      <c r="Y244" s="186">
        <f t="shared" si="166"/>
        <v>0</v>
      </c>
      <c r="Z244" s="186">
        <f t="shared" si="166"/>
        <v>0</v>
      </c>
    </row>
    <row r="245" spans="2:27" ht="3.95" hidden="1" customHeight="1">
      <c r="G245" s="127"/>
    </row>
    <row r="246" spans="2:27" ht="15" hidden="1" customHeight="1">
      <c r="B246" s="163" t="s">
        <v>355</v>
      </c>
      <c r="C246" s="164"/>
      <c r="D246" s="164"/>
      <c r="E246" s="165">
        <f t="shared" ref="E246:G246" si="167">+E234+E236+E238+E240+E242+E244</f>
        <v>-27301</v>
      </c>
      <c r="F246" s="165">
        <f t="shared" si="167"/>
        <v>-113819.04800000001</v>
      </c>
      <c r="G246" s="166">
        <f t="shared" si="167"/>
        <v>-245379.05900000001</v>
      </c>
      <c r="H246" s="165">
        <f>IFERROR(+H234+H236+H238+H240+H242+H244,"")</f>
        <v>76542.222605188785</v>
      </c>
      <c r="I246" s="165">
        <f t="shared" ref="I246:P246" si="168">IFERROR(+I234+I236+I238+I240+I242+I244,"")</f>
        <v>-291521.2153277804</v>
      </c>
      <c r="J246" s="165">
        <f t="shared" si="168"/>
        <v>-79751.71027225029</v>
      </c>
      <c r="K246" s="165">
        <f t="shared" si="168"/>
        <v>-388563.71629105619</v>
      </c>
      <c r="L246" s="165">
        <f t="shared" si="168"/>
        <v>-183290.34898138797</v>
      </c>
      <c r="M246" s="165">
        <f t="shared" si="168"/>
        <v>-456197.53406828752</v>
      </c>
      <c r="N246" s="165">
        <f t="shared" si="168"/>
        <v>-234575.61941337708</v>
      </c>
      <c r="O246" s="165">
        <f t="shared" si="168"/>
        <v>-528236.43045637314</v>
      </c>
      <c r="P246" s="165">
        <f t="shared" si="168"/>
        <v>-208068.29159634735</v>
      </c>
      <c r="Q246" s="303">
        <f t="shared" ref="Q246:Z246" si="169">IFERROR(+Q234+Q236+Q238+Q240+Q242+Q244,"")</f>
        <v>-550890.38436294545</v>
      </c>
      <c r="R246" s="303">
        <f t="shared" si="169"/>
        <v>-7602.8113808040507</v>
      </c>
      <c r="S246" s="303">
        <f t="shared" si="169"/>
        <v>-488555.90423490421</v>
      </c>
      <c r="T246" s="303">
        <f t="shared" si="169"/>
        <v>166087.4999515402</v>
      </c>
      <c r="U246" s="303">
        <f t="shared" si="169"/>
        <v>-134212.16505580849</v>
      </c>
      <c r="V246" s="303">
        <f t="shared" si="169"/>
        <v>192561.11740195577</v>
      </c>
      <c r="W246" s="303">
        <f t="shared" si="169"/>
        <v>300855.42967087717</v>
      </c>
      <c r="X246" s="303">
        <f t="shared" si="169"/>
        <v>561932.91088802344</v>
      </c>
      <c r="Y246" s="303">
        <f t="shared" si="169"/>
        <v>928689.831715832</v>
      </c>
      <c r="Z246" s="303">
        <f t="shared" si="169"/>
        <v>1331754.6711742457</v>
      </c>
    </row>
    <row r="247" spans="2:27" ht="15" hidden="1" customHeight="1">
      <c r="B247" s="167" t="s">
        <v>464</v>
      </c>
      <c r="C247" s="168"/>
      <c r="D247" s="168"/>
      <c r="E247" s="168"/>
      <c r="F247" s="168"/>
      <c r="G247" s="169"/>
      <c r="H247" s="170">
        <f t="shared" ref="H247:Z247" ca="1" si="170">IFERROR(H246/(1+$C$12)^H$197,"")</f>
        <v>75143.794849952959</v>
      </c>
      <c r="I247" s="170">
        <f t="shared" ca="1" si="170"/>
        <v>-253376.1315224336</v>
      </c>
      <c r="J247" s="170">
        <f t="shared" ca="1" si="170"/>
        <v>-61367.583361128527</v>
      </c>
      <c r="K247" s="170">
        <f t="shared" ca="1" si="170"/>
        <v>-264706.58228156535</v>
      </c>
      <c r="L247" s="170">
        <f t="shared" ca="1" si="170"/>
        <v>-110546.64721354691</v>
      </c>
      <c r="M247" s="170">
        <f t="shared" ca="1" si="170"/>
        <v>-243591.64668309176</v>
      </c>
      <c r="N247" s="170">
        <f t="shared" ca="1" si="170"/>
        <v>-110890.87497828751</v>
      </c>
      <c r="O247" s="170">
        <f t="shared" ca="1" si="170"/>
        <v>-221077.61393768509</v>
      </c>
      <c r="P247" s="170">
        <f t="shared" ca="1" si="170"/>
        <v>-77094.926907377332</v>
      </c>
      <c r="Q247" s="171">
        <f t="shared" ca="1" si="170"/>
        <v>-180712.65740840306</v>
      </c>
      <c r="R247" s="171">
        <f t="shared" ca="1" si="170"/>
        <v>-2208.0102093563896</v>
      </c>
      <c r="S247" s="171">
        <f t="shared" ca="1" si="170"/>
        <v>-125615.89811271246</v>
      </c>
      <c r="T247" s="171">
        <f t="shared" ca="1" si="170"/>
        <v>37806.874019732204</v>
      </c>
      <c r="U247" s="171">
        <f t="shared" ca="1" si="170"/>
        <v>-27047.628027404946</v>
      </c>
      <c r="V247" s="171">
        <f t="shared" ca="1" si="170"/>
        <v>34356.536896445876</v>
      </c>
      <c r="W247" s="171">
        <f t="shared" ca="1" si="170"/>
        <v>47522.810612274458</v>
      </c>
      <c r="X247" s="171">
        <f t="shared" ca="1" si="170"/>
        <v>78583.652949586656</v>
      </c>
      <c r="Y247" s="171">
        <f t="shared" ca="1" si="170"/>
        <v>114979.89715599589</v>
      </c>
      <c r="Z247" s="171">
        <f t="shared" ca="1" si="170"/>
        <v>145975.15154512544</v>
      </c>
    </row>
    <row r="248" spans="2:27" ht="3.75" hidden="1" customHeight="1">
      <c r="G248" s="127"/>
    </row>
    <row r="249" spans="2:27" ht="15" hidden="1" customHeight="1">
      <c r="B249" s="105" t="s">
        <v>443</v>
      </c>
      <c r="G249" s="127"/>
      <c r="Q249" s="148">
        <f>IFERROR((Q246*(1+$C$13))/(WACC!$G$11-$C$13),"")</f>
        <v>-4481060.5743808476</v>
      </c>
      <c r="R249" s="148">
        <f>IFERROR((R246*(1+$C$13))/(WACC!$G$11-$C$13),"")</f>
        <v>-61842.898877918044</v>
      </c>
      <c r="S249" s="148">
        <f>IFERROR((S246*(1+$C$13))/(WACC!$G$11-$C$13),"")</f>
        <v>-3974018.5397856976</v>
      </c>
      <c r="T249" s="148">
        <f>IFERROR((T246*(1+$C$13))/(WACC!$G$11-$C$13),"")</f>
        <v>1350991.3570028688</v>
      </c>
      <c r="U249" s="148">
        <f>IFERROR((U246*(1+$C$13))/(WACC!$G$11-$C$13),"")</f>
        <v>-1091710.5444295555</v>
      </c>
      <c r="V249" s="148">
        <f>IFERROR((V246*(1+$C$13))/(WACC!$G$11-$C$13),"")</f>
        <v>1566333.4409920142</v>
      </c>
      <c r="W249" s="148">
        <f>IFERROR((W246*(1+$C$13))/(WACC!$G$11-$C$13),"")</f>
        <v>2447222.6104392651</v>
      </c>
      <c r="X249" s="148">
        <f>IFERROR((X246*(1+$C$13))/(WACC!$G$11-$C$13),"")</f>
        <v>4570882.8541984623</v>
      </c>
      <c r="Y249" s="148">
        <f>IFERROR((Y246*(1+$C$13))/(WACC!$G$11-$C$13),"")</f>
        <v>7554162.3322080886</v>
      </c>
      <c r="Z249" s="148">
        <f>IFERROR((Z246*(1+$C$13))/(WACC!$G$11-$C$13),"")</f>
        <v>10832778.209856598</v>
      </c>
    </row>
    <row r="250" spans="2:27" ht="15" hidden="1" customHeight="1">
      <c r="B250" s="105" t="s">
        <v>444</v>
      </c>
      <c r="G250" s="127"/>
      <c r="Q250" s="191">
        <f ca="1">IFERROR(Q249/(1+WACC!$G$11)^$Q$197,"")</f>
        <v>-1293760.1081768228</v>
      </c>
      <c r="R250" s="191">
        <f ca="1">IFERROR(R249/(1+WACC!$G$11)^$Q$197,"")</f>
        <v>-17855.120281055028</v>
      </c>
      <c r="S250" s="191">
        <f ca="1">IFERROR(S249/(1+WACC!$G$11)^$Q$197,"")</f>
        <v>-1147368.2559268326</v>
      </c>
      <c r="T250" s="191">
        <f ca="1">IFERROR(T249/(1+WACC!$G$11)^$Q$197,"")</f>
        <v>390054.69691145321</v>
      </c>
      <c r="U250" s="191">
        <f ca="1">IFERROR(U249/(1+WACC!$G$11)^$Q$197,"")</f>
        <v>-315195.81773431262</v>
      </c>
      <c r="V250" s="191">
        <f ca="1">IFERROR(V249/(1+WACC!$G$11)^$Q$197,"")</f>
        <v>452227.70110372838</v>
      </c>
      <c r="W250" s="191">
        <f ca="1">IFERROR(W249/(1+WACC!$G$11)^$Q$197,"")</f>
        <v>706555.7219458333</v>
      </c>
      <c r="X250" s="191">
        <f ca="1">IFERROR(X249/(1+WACC!$G$11)^$Q$197,"")</f>
        <v>1319693.3622635705</v>
      </c>
      <c r="Y250" s="191">
        <f ca="1">IFERROR(Y249/(1+WACC!$G$11)^$Q$197,"")</f>
        <v>2181018.023273028</v>
      </c>
      <c r="Z250" s="191">
        <f ca="1">IFERROR(Z249/(1+WACC!$G$11)^$Q$197,"")</f>
        <v>3127611.4384095483</v>
      </c>
    </row>
    <row r="251" spans="2:27" ht="15" hidden="1" customHeight="1">
      <c r="B251" s="105" t="s">
        <v>202</v>
      </c>
      <c r="G251" s="127"/>
      <c r="AA251" s="148">
        <f ca="1">+SUM(Q250,H247:Q247)</f>
        <v>-2741980.9776203893</v>
      </c>
    </row>
    <row r="252" spans="2:27" ht="3.75" hidden="1" customHeight="1">
      <c r="G252" s="127"/>
    </row>
    <row r="253" spans="2:27" ht="15" hidden="1" customHeight="1">
      <c r="B253" s="129" t="s">
        <v>451</v>
      </c>
      <c r="G253" s="127"/>
      <c r="N253" s="180"/>
      <c r="AA253" s="181">
        <f ca="1">IFERROR(AA251/Z209,"")</f>
        <v>-9.2110953741987736</v>
      </c>
    </row>
    <row r="254" spans="2:27" ht="3.75" hidden="1" customHeight="1">
      <c r="G254" s="127"/>
    </row>
    <row r="255" spans="2:27" ht="15" hidden="1" customHeight="1">
      <c r="B255" s="129" t="s">
        <v>453</v>
      </c>
      <c r="C255" s="129"/>
      <c r="D255" s="129"/>
      <c r="E255" s="129"/>
      <c r="F255" s="129"/>
      <c r="G255" s="182"/>
      <c r="H255" s="129"/>
      <c r="I255" s="129"/>
      <c r="J255" s="129"/>
      <c r="K255" s="129"/>
      <c r="L255" s="129"/>
      <c r="M255" s="129"/>
      <c r="N255" s="129"/>
      <c r="O255" s="129"/>
      <c r="P255" s="129"/>
      <c r="AA255" s="183">
        <f ca="1">IFERROR(AA253/Z212-1,"")</f>
        <v>-1.1674501049701638</v>
      </c>
    </row>
    <row r="256" spans="2:27" s="188" customFormat="1" ht="3.75" hidden="1" customHeight="1">
      <c r="G256" s="189"/>
    </row>
    <row r="257" spans="1:26" ht="15" hidden="1" customHeight="1">
      <c r="A257" s="105" t="s">
        <v>349</v>
      </c>
      <c r="B257" s="43" t="s">
        <v>465</v>
      </c>
      <c r="C257" s="43"/>
      <c r="D257" s="43"/>
      <c r="E257" s="116">
        <f>+E230</f>
        <v>2022</v>
      </c>
      <c r="F257" s="116">
        <f>+F230</f>
        <v>2023</v>
      </c>
      <c r="G257" s="117">
        <f>+G230</f>
        <v>2024</v>
      </c>
      <c r="H257" s="88">
        <f t="shared" ref="H257:Q257" si="171">1+G257</f>
        <v>2025</v>
      </c>
      <c r="I257" s="88">
        <f t="shared" si="171"/>
        <v>2026</v>
      </c>
      <c r="J257" s="88">
        <f t="shared" si="171"/>
        <v>2027</v>
      </c>
      <c r="K257" s="88">
        <f t="shared" si="171"/>
        <v>2028</v>
      </c>
      <c r="L257" s="88">
        <f t="shared" si="171"/>
        <v>2029</v>
      </c>
      <c r="M257" s="88">
        <f t="shared" si="171"/>
        <v>2030</v>
      </c>
      <c r="N257" s="88">
        <f t="shared" si="171"/>
        <v>2031</v>
      </c>
      <c r="O257" s="88">
        <f t="shared" si="171"/>
        <v>2032</v>
      </c>
      <c r="P257" s="88">
        <f t="shared" si="171"/>
        <v>2033</v>
      </c>
      <c r="Q257" s="88">
        <f t="shared" si="171"/>
        <v>2034</v>
      </c>
      <c r="R257" s="88"/>
      <c r="S257" s="88"/>
      <c r="T257" s="88"/>
      <c r="U257" s="88"/>
      <c r="V257" s="88"/>
      <c r="W257" s="88"/>
      <c r="X257" s="88"/>
      <c r="Y257" s="88"/>
      <c r="Z257" s="88"/>
    </row>
    <row r="258" spans="1:26" ht="3.75" hidden="1" customHeight="1">
      <c r="B258" s="44"/>
      <c r="C258" s="44"/>
      <c r="D258" s="44"/>
      <c r="E258" s="44"/>
      <c r="F258" s="44"/>
      <c r="G258" s="184"/>
      <c r="H258" s="44"/>
      <c r="I258" s="44"/>
      <c r="J258" s="44"/>
      <c r="K258" s="44"/>
      <c r="L258" s="44"/>
      <c r="M258" s="44"/>
      <c r="N258" s="44"/>
      <c r="O258" s="44"/>
      <c r="P258" s="44"/>
      <c r="Q258" s="44"/>
      <c r="R258" s="44"/>
      <c r="S258" s="44"/>
      <c r="T258" s="44"/>
      <c r="U258" s="44"/>
      <c r="V258" s="44"/>
      <c r="W258" s="44"/>
      <c r="X258" s="44"/>
      <c r="Y258" s="44"/>
      <c r="Z258" s="44"/>
    </row>
    <row r="259" spans="1:26" ht="15" hidden="1" customHeight="1">
      <c r="B259" s="105" t="s">
        <v>357</v>
      </c>
      <c r="E259" s="148">
        <f t="shared" ref="E259:G259" si="172">+E152+E149</f>
        <v>-905</v>
      </c>
      <c r="F259" s="148">
        <f t="shared" si="172"/>
        <v>1954</v>
      </c>
      <c r="G259" s="185">
        <f t="shared" si="172"/>
        <v>41449</v>
      </c>
      <c r="H259" s="148">
        <f ca="1">IFERROR(H152+H149,"")</f>
        <v>0</v>
      </c>
      <c r="I259" s="148">
        <f t="shared" ref="I259:Q259" ca="1" si="173">IFERROR(I152+I149,"")</f>
        <v>0</v>
      </c>
      <c r="J259" s="148">
        <f t="shared" ca="1" si="173"/>
        <v>0</v>
      </c>
      <c r="K259" s="148">
        <f t="shared" ca="1" si="173"/>
        <v>0</v>
      </c>
      <c r="L259" s="148">
        <f t="shared" ca="1" si="173"/>
        <v>0</v>
      </c>
      <c r="M259" s="148">
        <f t="shared" ca="1" si="173"/>
        <v>0</v>
      </c>
      <c r="N259" s="148">
        <f t="shared" ca="1" si="173"/>
        <v>0</v>
      </c>
      <c r="O259" s="148">
        <f t="shared" ca="1" si="173"/>
        <v>0</v>
      </c>
      <c r="P259" s="148">
        <f t="shared" ca="1" si="173"/>
        <v>0</v>
      </c>
      <c r="Q259" s="148">
        <f t="shared" ca="1" si="173"/>
        <v>0</v>
      </c>
      <c r="R259" s="148"/>
      <c r="S259" s="148"/>
      <c r="T259" s="148"/>
      <c r="U259" s="148"/>
      <c r="V259" s="148"/>
      <c r="W259" s="148"/>
      <c r="X259" s="148"/>
      <c r="Y259" s="148"/>
      <c r="Z259" s="148"/>
    </row>
    <row r="260" spans="1:26" ht="15" hidden="1" customHeight="1">
      <c r="B260" s="132" t="s">
        <v>466</v>
      </c>
      <c r="E260" s="188">
        <f t="shared" ref="E260:Q260" si="174">IFERROR(_xlfn.XLOOKUP("Repurchase payout",$B:$B,E:E)+_xlfn.XLOOKUP("Dividend payout",$B:$B,E:E),"")</f>
        <v>-1.8655562655892476E-2</v>
      </c>
      <c r="F260" s="188">
        <f t="shared" si="174"/>
        <v>1.2388804456784273E-2</v>
      </c>
      <c r="G260" s="189">
        <f t="shared" si="174"/>
        <v>0.12500148565361938</v>
      </c>
      <c r="H260" s="188">
        <f t="shared" ca="1" si="174"/>
        <v>0</v>
      </c>
      <c r="I260" s="188">
        <f t="shared" ca="1" si="174"/>
        <v>0</v>
      </c>
      <c r="J260" s="188">
        <f t="shared" ca="1" si="174"/>
        <v>0</v>
      </c>
      <c r="K260" s="188">
        <f t="shared" ca="1" si="174"/>
        <v>0</v>
      </c>
      <c r="L260" s="188">
        <f t="shared" ca="1" si="174"/>
        <v>0</v>
      </c>
      <c r="M260" s="188">
        <f t="shared" ca="1" si="174"/>
        <v>0</v>
      </c>
      <c r="N260" s="188">
        <f t="shared" ca="1" si="174"/>
        <v>0</v>
      </c>
      <c r="O260" s="188">
        <f t="shared" ca="1" si="174"/>
        <v>0</v>
      </c>
      <c r="P260" s="188">
        <f t="shared" ca="1" si="174"/>
        <v>0</v>
      </c>
      <c r="Q260" s="188">
        <f t="shared" ca="1" si="174"/>
        <v>0</v>
      </c>
      <c r="R260" s="188"/>
      <c r="S260" s="188"/>
      <c r="T260" s="188"/>
      <c r="U260" s="188"/>
      <c r="V260" s="188"/>
      <c r="W260" s="188"/>
      <c r="X260" s="188"/>
      <c r="Y260" s="188"/>
      <c r="Z260" s="188"/>
    </row>
    <row r="261" spans="1:26" ht="15" hidden="1" customHeight="1">
      <c r="B261" s="105" t="s">
        <v>467</v>
      </c>
      <c r="E261" s="188">
        <f>IFERROR(1-E260,"")</f>
        <v>1.0186555626558924</v>
      </c>
      <c r="F261" s="188">
        <f t="shared" ref="F261:Q261" si="175">IFERROR(1-F260,"")</f>
        <v>0.98761119554321575</v>
      </c>
      <c r="G261" s="189">
        <f t="shared" si="175"/>
        <v>0.87499851434638065</v>
      </c>
      <c r="H261" s="188">
        <f t="shared" ca="1" si="175"/>
        <v>1</v>
      </c>
      <c r="I261" s="188">
        <f t="shared" ca="1" si="175"/>
        <v>1</v>
      </c>
      <c r="J261" s="188">
        <f t="shared" ca="1" si="175"/>
        <v>1</v>
      </c>
      <c r="K261" s="188">
        <f t="shared" ca="1" si="175"/>
        <v>1</v>
      </c>
      <c r="L261" s="188">
        <f t="shared" ca="1" si="175"/>
        <v>1</v>
      </c>
      <c r="M261" s="188">
        <f t="shared" ca="1" si="175"/>
        <v>1</v>
      </c>
      <c r="N261" s="188">
        <f t="shared" ca="1" si="175"/>
        <v>1</v>
      </c>
      <c r="O261" s="188">
        <f t="shared" ca="1" si="175"/>
        <v>1</v>
      </c>
      <c r="P261" s="188">
        <f t="shared" ca="1" si="175"/>
        <v>1</v>
      </c>
      <c r="Q261" s="188">
        <f t="shared" ca="1" si="175"/>
        <v>1</v>
      </c>
      <c r="R261" s="188"/>
      <c r="S261" s="188"/>
      <c r="T261" s="188"/>
      <c r="U261" s="188"/>
      <c r="V261" s="188"/>
      <c r="W261" s="188"/>
      <c r="X261" s="188"/>
      <c r="Y261" s="188"/>
      <c r="Z261" s="188"/>
    </row>
    <row r="262" spans="1:26" ht="3.75" hidden="1" customHeight="1">
      <c r="G262" s="127"/>
    </row>
    <row r="263" spans="1:26" ht="15" hidden="1" customHeight="1">
      <c r="B263" s="192" t="s">
        <v>468</v>
      </c>
      <c r="C263" s="193"/>
      <c r="D263" s="193"/>
      <c r="E263" s="193"/>
      <c r="F263" s="193"/>
      <c r="G263" s="194"/>
      <c r="H263" s="195">
        <f ca="1">IFERROR(-H259/(1+WACC!$G$11)^H$197,"")</f>
        <v>0</v>
      </c>
      <c r="I263" s="195">
        <f ca="1">IFERROR(-I259/(1+WACC!$G$11)^I$197,"")</f>
        <v>0</v>
      </c>
      <c r="J263" s="195">
        <f ca="1">IFERROR(-J259/(1+WACC!$G$11)^J$197,"")</f>
        <v>0</v>
      </c>
      <c r="K263" s="195">
        <f ca="1">IFERROR(-K259/(1+WACC!$G$11)^K$197,"")</f>
        <v>0</v>
      </c>
      <c r="L263" s="195">
        <f ca="1">IFERROR(-L259/(1+WACC!$G$11)^L$197,"")</f>
        <v>0</v>
      </c>
      <c r="M263" s="195">
        <f ca="1">IFERROR(-M259/(1+WACC!$G$11)^M$197,"")</f>
        <v>0</v>
      </c>
      <c r="N263" s="195">
        <f ca="1">IFERROR(-N259/(1+WACC!$G$11)^N$197,"")</f>
        <v>0</v>
      </c>
      <c r="O263" s="195">
        <f ca="1">IFERROR(-O259/(1+WACC!$G$11)^O$197,"")</f>
        <v>0</v>
      </c>
      <c r="P263" s="195">
        <f ca="1">IFERROR(-P259/(1+WACC!$G$11)^P$197,"")</f>
        <v>0</v>
      </c>
      <c r="Q263" s="466">
        <f ca="1">IFERROR(-Q259/(1+WACC!$G$11)^Q$197,"")</f>
        <v>0</v>
      </c>
      <c r="R263" s="148"/>
      <c r="S263" s="148"/>
      <c r="T263" s="148"/>
      <c r="U263" s="148"/>
      <c r="V263" s="148"/>
      <c r="W263" s="148"/>
      <c r="X263" s="148"/>
      <c r="Y263" s="148"/>
      <c r="Z263" s="148"/>
    </row>
    <row r="264" spans="1:26" ht="3.75" hidden="1" customHeight="1">
      <c r="G264" s="127"/>
    </row>
    <row r="265" spans="1:26" ht="13.5" hidden="1" customHeight="1">
      <c r="B265" s="105" t="s">
        <v>443</v>
      </c>
      <c r="G265" s="127"/>
      <c r="Q265" s="148">
        <f ca="1">IFERROR(+(Q263*(1+$C$13))/(WACC!$G$11-$C$13),"")</f>
        <v>0</v>
      </c>
      <c r="R265" s="148"/>
      <c r="S265" s="148"/>
      <c r="T265" s="148"/>
      <c r="U265" s="148"/>
      <c r="V265" s="148"/>
      <c r="W265" s="148"/>
      <c r="X265" s="148"/>
      <c r="Y265" s="148"/>
      <c r="Z265" s="148"/>
    </row>
    <row r="266" spans="1:26" ht="15" hidden="1" customHeight="1">
      <c r="B266" s="105" t="s">
        <v>444</v>
      </c>
      <c r="G266" s="127"/>
      <c r="Q266" s="191">
        <f ca="1">IFERROR(Q265/(1+$C$12)^$Q$197,"")</f>
        <v>0</v>
      </c>
      <c r="R266" s="191"/>
      <c r="S266" s="191"/>
      <c r="T266" s="191"/>
      <c r="U266" s="191"/>
      <c r="V266" s="191"/>
      <c r="W266" s="191"/>
      <c r="X266" s="191"/>
      <c r="Y266" s="191"/>
      <c r="Z266" s="191"/>
    </row>
    <row r="267" spans="1:26" ht="15" hidden="1" customHeight="1">
      <c r="B267" s="105" t="s">
        <v>202</v>
      </c>
      <c r="G267" s="127"/>
      <c r="Q267" s="148">
        <f ca="1">+SUM(Q266,H263:Q263)</f>
        <v>0</v>
      </c>
      <c r="R267" s="148"/>
      <c r="S267" s="148"/>
      <c r="T267" s="148"/>
      <c r="U267" s="148"/>
      <c r="V267" s="148"/>
      <c r="W267" s="148"/>
      <c r="X267" s="148"/>
      <c r="Y267" s="148"/>
      <c r="Z267" s="148"/>
    </row>
    <row r="268" spans="1:26" ht="3.75" hidden="1" customHeight="1">
      <c r="G268" s="127"/>
      <c r="N268" s="180"/>
    </row>
    <row r="269" spans="1:26" ht="15" hidden="1" customHeight="1">
      <c r="B269" s="129" t="s">
        <v>451</v>
      </c>
      <c r="G269" s="127"/>
      <c r="Q269" s="181">
        <f ca="1">IFERROR(Q266/Z$209,"")</f>
        <v>0</v>
      </c>
      <c r="R269" s="181"/>
      <c r="S269" s="181"/>
      <c r="T269" s="181"/>
      <c r="U269" s="181"/>
      <c r="V269" s="181"/>
      <c r="W269" s="181"/>
      <c r="X269" s="181"/>
      <c r="Y269" s="181"/>
      <c r="Z269" s="181"/>
    </row>
    <row r="270" spans="1:26" ht="3.75" hidden="1" customHeight="1">
      <c r="B270" s="129"/>
      <c r="G270" s="127"/>
    </row>
    <row r="271" spans="1:26" ht="15" hidden="1" customHeight="1">
      <c r="B271" s="129" t="s">
        <v>453</v>
      </c>
      <c r="C271" s="129"/>
      <c r="D271" s="129"/>
      <c r="E271" s="129"/>
      <c r="F271" s="129"/>
      <c r="G271" s="182"/>
      <c r="H271" s="129"/>
      <c r="I271" s="129"/>
      <c r="J271" s="129"/>
      <c r="K271" s="129"/>
      <c r="L271" s="129"/>
      <c r="M271" s="129"/>
      <c r="N271" s="129"/>
      <c r="O271" s="129"/>
      <c r="P271" s="129"/>
      <c r="Q271" s="196">
        <f ca="1">IFERROR(Q269/Z212-1,"")</f>
        <v>-1</v>
      </c>
      <c r="R271" s="196"/>
      <c r="S271" s="196"/>
      <c r="T271" s="196"/>
      <c r="U271" s="196"/>
      <c r="V271" s="196"/>
      <c r="W271" s="196"/>
      <c r="X271" s="196"/>
      <c r="Y271" s="196"/>
      <c r="Z271" s="196"/>
    </row>
    <row r="273" spans="1:58" ht="15" customHeight="1">
      <c r="A273" s="105" t="s">
        <v>349</v>
      </c>
      <c r="B273" s="56" t="s">
        <v>180</v>
      </c>
      <c r="C273" s="57"/>
      <c r="D273" s="56"/>
      <c r="E273" s="57"/>
      <c r="F273" s="57"/>
      <c r="G273" s="57"/>
      <c r="H273" s="57"/>
      <c r="I273" s="57"/>
      <c r="J273" s="84"/>
      <c r="K273" s="85"/>
      <c r="L273" s="85"/>
      <c r="M273" s="85"/>
      <c r="N273" s="85"/>
      <c r="O273" s="85"/>
    </row>
    <row r="274" spans="1:58" ht="3.75" customHeight="1">
      <c r="B274" s="58"/>
      <c r="C274" s="58"/>
      <c r="D274" s="58"/>
      <c r="E274" s="58"/>
      <c r="F274" s="58"/>
      <c r="G274" s="58"/>
      <c r="H274" s="58"/>
      <c r="I274" s="58"/>
      <c r="J274" s="86"/>
      <c r="K274" s="86"/>
      <c r="L274" s="86"/>
      <c r="M274" s="86"/>
      <c r="N274" s="86"/>
      <c r="O274" s="86"/>
    </row>
    <row r="275" spans="1:58" ht="39.75" customHeight="1">
      <c r="B275" s="894"/>
      <c r="C275" s="894"/>
      <c r="D275" s="874"/>
      <c r="E275" s="874"/>
      <c r="F275" s="874"/>
      <c r="G275" s="874"/>
      <c r="H275" s="874"/>
      <c r="I275" s="874"/>
      <c r="J275" s="874"/>
      <c r="K275" s="874"/>
      <c r="L275" s="874"/>
      <c r="M275" s="874"/>
      <c r="N275" s="874"/>
      <c r="O275" s="874"/>
    </row>
    <row r="276" spans="1:58" ht="39.75" customHeight="1">
      <c r="B276" s="894"/>
      <c r="C276" s="894"/>
      <c r="D276" s="871"/>
      <c r="E276" s="871"/>
      <c r="F276" s="871"/>
      <c r="G276" s="871"/>
      <c r="H276" s="871"/>
      <c r="I276" s="871"/>
      <c r="J276" s="871"/>
      <c r="K276" s="871"/>
      <c r="L276" s="871"/>
      <c r="M276" s="871"/>
      <c r="N276" s="871"/>
      <c r="O276"/>
    </row>
    <row r="277" spans="1:58" ht="39.75" customHeight="1">
      <c r="B277" s="894"/>
      <c r="C277" s="894"/>
      <c r="D277" s="871"/>
      <c r="E277" s="871"/>
      <c r="F277" s="871"/>
      <c r="G277" s="871"/>
      <c r="H277" s="871"/>
      <c r="I277" s="871"/>
      <c r="J277" s="871"/>
      <c r="K277" s="871"/>
      <c r="L277" s="871"/>
      <c r="M277" s="871"/>
      <c r="N277" s="871"/>
      <c r="O277"/>
    </row>
    <row r="278" spans="1:58" ht="39.75" customHeight="1">
      <c r="B278" s="894"/>
      <c r="C278" s="894"/>
      <c r="D278" s="871"/>
      <c r="E278" s="871"/>
      <c r="F278" s="871"/>
      <c r="G278" s="871"/>
      <c r="H278" s="871"/>
      <c r="I278" s="871"/>
      <c r="J278" s="871"/>
      <c r="K278" s="871"/>
      <c r="L278" s="871"/>
      <c r="M278" s="871"/>
      <c r="N278" s="871"/>
      <c r="O278"/>
    </row>
    <row r="279" spans="1:58" ht="39.75" customHeight="1">
      <c r="B279" s="894"/>
      <c r="C279" s="894"/>
      <c r="D279" s="874"/>
      <c r="E279" s="874"/>
      <c r="F279" s="874"/>
      <c r="G279" s="874"/>
      <c r="H279" s="874"/>
      <c r="I279" s="874"/>
      <c r="J279" s="874"/>
      <c r="K279" s="874"/>
      <c r="L279" s="874"/>
      <c r="M279" s="874"/>
      <c r="N279" s="874"/>
      <c r="O279" s="874"/>
    </row>
    <row r="280" spans="1:58" ht="39.75" customHeight="1">
      <c r="B280" s="894"/>
      <c r="C280" s="894"/>
      <c r="D280" s="874"/>
      <c r="E280" s="874"/>
      <c r="F280" s="874"/>
      <c r="G280" s="874"/>
      <c r="H280" s="874"/>
      <c r="I280" s="874"/>
      <c r="J280" s="874"/>
      <c r="K280" s="874"/>
      <c r="L280" s="874"/>
      <c r="M280" s="874"/>
      <c r="N280" s="874"/>
      <c r="O280" s="874"/>
    </row>
    <row r="281" spans="1:58" ht="15" customHeight="1">
      <c r="D281" s="871"/>
      <c r="E281" s="871"/>
      <c r="F281" s="871"/>
      <c r="G281" s="871"/>
      <c r="H281" s="871"/>
      <c r="I281" s="871"/>
      <c r="J281" s="871"/>
      <c r="K281" s="871"/>
      <c r="L281" s="871"/>
      <c r="M281" s="871"/>
      <c r="N281" s="871"/>
      <c r="O281"/>
    </row>
    <row r="282" spans="1:58" s="33" customFormat="1" ht="20.100000000000001" customHeight="1">
      <c r="A282" s="105"/>
      <c r="B282" s="866"/>
      <c r="C282" s="866"/>
      <c r="D282" s="871"/>
      <c r="E282" s="871"/>
      <c r="F282" s="871"/>
      <c r="G282" s="871"/>
      <c r="H282" s="871"/>
      <c r="I282" s="871"/>
      <c r="J282" s="871"/>
      <c r="K282" s="871"/>
      <c r="L282" s="871"/>
      <c r="M282" s="871"/>
      <c r="N282" s="871"/>
      <c r="O282"/>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W282" s="678" t="s">
        <v>469</v>
      </c>
    </row>
    <row r="284" spans="1:58" ht="15" customHeight="1">
      <c r="AW284" s="610" t="str">
        <f>Peers!AM286&amp;" Stock Price - Blended Discount Rate and Terminal Growth Rate"</f>
        <v xml:space="preserve"> Stock Price - Blended Discount Rate and Terminal Growth Rate</v>
      </c>
      <c r="AX284"/>
      <c r="AY284"/>
      <c r="AZ284"/>
      <c r="BA284"/>
      <c r="BB284"/>
      <c r="BC284"/>
      <c r="BF284" s="105">
        <v>1</v>
      </c>
    </row>
    <row r="285" spans="1:58" ht="15" customHeight="1">
      <c r="AW285" t="s">
        <v>470</v>
      </c>
      <c r="AX285"/>
      <c r="AY285"/>
      <c r="AZ285"/>
      <c r="BA285"/>
      <c r="BB285"/>
      <c r="BC285"/>
      <c r="BF285" s="105">
        <v>2</v>
      </c>
    </row>
    <row r="286" spans="1:58" ht="15" customHeight="1">
      <c r="AW286" s="608"/>
      <c r="AX286" s="609"/>
      <c r="AY286" s="679"/>
      <c r="AZ286" s="608"/>
      <c r="BA286" s="680" t="s">
        <v>364</v>
      </c>
      <c r="BB286" s="608"/>
      <c r="BC286" s="608"/>
      <c r="BF286" s="105">
        <v>3</v>
      </c>
    </row>
    <row r="287" spans="1:58" ht="15" customHeight="1">
      <c r="AW287" s="602"/>
      <c r="AX287" s="687">
        <f ca="1">Z210</f>
        <v>13.352792719932822</v>
      </c>
      <c r="AY287" s="613">
        <v>0.1323</v>
      </c>
      <c r="AZ287" s="613">
        <v>0.1273</v>
      </c>
      <c r="BA287" s="613">
        <v>0.12230000000000001</v>
      </c>
      <c r="BB287" s="613">
        <v>0.1173</v>
      </c>
      <c r="BC287" s="613">
        <v>0.1123</v>
      </c>
      <c r="BF287" s="105">
        <v>4</v>
      </c>
    </row>
    <row r="288" spans="1:58" ht="15" customHeight="1">
      <c r="AW288"/>
      <c r="AX288" s="605">
        <v>0.01</v>
      </c>
      <c r="AY288" s="611">
        <f t="dataTable" ref="AY288:BC292" dt2D="1" dtr="1" r1="I9" r2="I10" ca="1"/>
        <v>11.242147079069223</v>
      </c>
      <c r="AZ288" s="611">
        <v>12.925527023042529</v>
      </c>
      <c r="BA288" s="611">
        <v>14.851593113734157</v>
      </c>
      <c r="BB288" s="611">
        <v>17.0617879736443</v>
      </c>
      <c r="BC288" s="611">
        <v>19.606317363334831</v>
      </c>
      <c r="BF288" s="105">
        <v>5</v>
      </c>
    </row>
    <row r="289" spans="49:58" ht="15" customHeight="1">
      <c r="AW289" s="677"/>
      <c r="AX289" s="605">
        <v>1.4999999999999999E-2</v>
      </c>
      <c r="AY289" s="611">
        <v>11.769203400477837</v>
      </c>
      <c r="AZ289" s="611">
        <v>13.544780854198944</v>
      </c>
      <c r="BA289" s="611">
        <v>15.582191156833918</v>
      </c>
      <c r="BB289" s="611">
        <v>17.927636626658927</v>
      </c>
      <c r="BC289" s="611">
        <v>20.637504289502669</v>
      </c>
      <c r="BF289" s="105">
        <v>6</v>
      </c>
    </row>
    <row r="290" spans="49:58" ht="15" customHeight="1">
      <c r="AW290" s="16" t="s">
        <v>366</v>
      </c>
      <c r="AX290" s="605">
        <v>0.02</v>
      </c>
      <c r="AY290" s="611">
        <v>12.343192608921949</v>
      </c>
      <c r="AZ290" s="611">
        <v>14.221747064773481</v>
      </c>
      <c r="BA290" s="611">
        <v>16.384206408447831</v>
      </c>
      <c r="BB290" s="611">
        <v>18.882472808246494</v>
      </c>
      <c r="BC290" s="611">
        <v>21.780412442774278</v>
      </c>
      <c r="BF290" s="105">
        <v>7</v>
      </c>
    </row>
    <row r="291" spans="49:58" ht="15" customHeight="1">
      <c r="AW291"/>
      <c r="AX291" s="605">
        <v>2.5000000000000001E-2</v>
      </c>
      <c r="AY291" s="611">
        <v>12.970675685813783</v>
      </c>
      <c r="AZ291" s="611">
        <v>14.964887880487266</v>
      </c>
      <c r="BA291" s="611">
        <v>17.268648715726073</v>
      </c>
      <c r="BB291" s="611">
        <v>19.940758196939967</v>
      </c>
      <c r="BC291" s="611">
        <v>23.054237910280893</v>
      </c>
      <c r="BF291" s="105">
        <v>8</v>
      </c>
    </row>
    <row r="292" spans="49:58" ht="15" customHeight="1">
      <c r="AW292" s="602"/>
      <c r="AX292" s="606">
        <v>0.03</v>
      </c>
      <c r="AY292" s="612">
        <v>13.659496306878822</v>
      </c>
      <c r="AZ292" s="612">
        <v>15.784404936253861</v>
      </c>
      <c r="BA292" s="612">
        <v>18.248913591506831</v>
      </c>
      <c r="BB292" s="612">
        <v>21.120267570592599</v>
      </c>
      <c r="BC292" s="612">
        <v>24.482841684896453</v>
      </c>
      <c r="BF292" s="105">
        <v>9</v>
      </c>
    </row>
    <row r="293" spans="49:58" ht="15" customHeight="1">
      <c r="AW293"/>
      <c r="AX293" s="689"/>
      <c r="AY293"/>
      <c r="AZ293"/>
      <c r="BA293"/>
      <c r="BB293"/>
      <c r="BC293"/>
      <c r="BF293" s="105">
        <v>10</v>
      </c>
    </row>
    <row r="294" spans="49:58" ht="15" customHeight="1">
      <c r="AW294" s="610" t="str">
        <f>Peers!AM286&amp;" Stock Price - Blended Revenue Growth and Operating Margin"</f>
        <v xml:space="preserve"> Stock Price - Blended Revenue Growth and Operating Margin</v>
      </c>
      <c r="AX294"/>
      <c r="AY294"/>
      <c r="AZ294"/>
      <c r="BA294"/>
      <c r="BB294"/>
      <c r="BC294"/>
      <c r="BF294" s="105">
        <v>11</v>
      </c>
    </row>
    <row r="295" spans="49:58" ht="15" customHeight="1">
      <c r="AW295" t="s">
        <v>470</v>
      </c>
      <c r="AX295"/>
      <c r="AY295"/>
      <c r="AZ295"/>
      <c r="BA295"/>
      <c r="BB295"/>
      <c r="BC295"/>
      <c r="BF295" s="105">
        <v>12</v>
      </c>
    </row>
    <row r="296" spans="49:58" ht="15" customHeight="1">
      <c r="AW296" s="608"/>
      <c r="AX296" s="609"/>
      <c r="AY296" s="608"/>
      <c r="AZ296" s="614" t="s">
        <v>205</v>
      </c>
      <c r="BA296" s="608"/>
      <c r="BB296"/>
      <c r="BC296"/>
      <c r="BF296" s="105">
        <v>13</v>
      </c>
    </row>
    <row r="297" spans="49:58" ht="15" customHeight="1">
      <c r="AW297" s="602"/>
      <c r="AX297" s="687">
        <f ca="1">Z210</f>
        <v>13.352792719932822</v>
      </c>
      <c r="AY297" s="681">
        <v>1</v>
      </c>
      <c r="AZ297" s="681">
        <v>2</v>
      </c>
      <c r="BA297" s="681">
        <v>3</v>
      </c>
      <c r="BB297"/>
      <c r="BC297"/>
      <c r="BF297" s="105">
        <v>14</v>
      </c>
    </row>
    <row r="298" spans="49:58" ht="15" customHeight="1">
      <c r="AW298"/>
      <c r="AX298" s="682">
        <v>1</v>
      </c>
      <c r="AY298">
        <f t="dataTable" ref="AY298:BA300" dt2D="1" dtr="1" r1="C8" r2="C7" ca="1"/>
        <v>8.7758175527313451</v>
      </c>
      <c r="AZ298">
        <v>9.4495047771223888</v>
      </c>
      <c r="BA298">
        <v>10.123192001513429</v>
      </c>
      <c r="BB298"/>
      <c r="BC298"/>
      <c r="BF298" s="105">
        <v>15</v>
      </c>
    </row>
    <row r="299" spans="49:58" ht="15" customHeight="1">
      <c r="AW299" s="16" t="s">
        <v>362</v>
      </c>
      <c r="AX299" s="682">
        <v>2</v>
      </c>
      <c r="AY299">
        <v>12.491500209815246</v>
      </c>
      <c r="AZ299">
        <v>13.352792719932822</v>
      </c>
      <c r="BA299">
        <v>14.214085230050395</v>
      </c>
      <c r="BB299"/>
      <c r="BC299"/>
      <c r="BF299" s="105">
        <v>16</v>
      </c>
    </row>
    <row r="300" spans="49:58" ht="15" customHeight="1">
      <c r="AW300" s="602"/>
      <c r="AX300" s="683">
        <v>3</v>
      </c>
      <c r="AY300" s="602">
        <v>17.40545449636841</v>
      </c>
      <c r="AZ300" s="602">
        <v>18.506137481622492</v>
      </c>
      <c r="BA300" s="602">
        <v>19.606820466876584</v>
      </c>
      <c r="BB300"/>
      <c r="BC300"/>
      <c r="BF300" s="105">
        <v>17</v>
      </c>
    </row>
    <row r="301" spans="49:58" ht="15" customHeight="1">
      <c r="AW301"/>
      <c r="AX301" s="684"/>
      <c r="AY301"/>
      <c r="AZ301"/>
      <c r="BA301"/>
      <c r="BB301"/>
      <c r="BC301"/>
      <c r="BF301" s="105">
        <v>18</v>
      </c>
    </row>
    <row r="302" spans="49:58" ht="15" customHeight="1">
      <c r="AW302" s="618" t="s">
        <v>471</v>
      </c>
      <c r="AX302" s="29"/>
      <c r="AY302" s="29"/>
      <c r="AZ302" s="29"/>
      <c r="BA302" s="29"/>
      <c r="BB302" s="29"/>
      <c r="BC302" s="29"/>
      <c r="BF302" s="105">
        <v>19</v>
      </c>
    </row>
    <row r="303" spans="49:58" ht="15" customHeight="1">
      <c r="BF303" s="105">
        <v>20</v>
      </c>
    </row>
    <row r="304" spans="49:58" ht="15" customHeight="1">
      <c r="BF304" s="105">
        <v>21</v>
      </c>
    </row>
    <row r="305" spans="49:58" ht="15" customHeight="1">
      <c r="BA305" s="112"/>
      <c r="BB305" s="112"/>
      <c r="BF305" s="105">
        <v>22</v>
      </c>
    </row>
    <row r="306" spans="49:58" ht="15" customHeight="1">
      <c r="BA306" s="112"/>
      <c r="BB306" s="112"/>
      <c r="BF306" s="105">
        <v>23</v>
      </c>
    </row>
    <row r="307" spans="49:58" ht="15" customHeight="1">
      <c r="BA307" s="157"/>
      <c r="BB307" s="157"/>
      <c r="BF307" s="105">
        <v>24</v>
      </c>
    </row>
    <row r="308" spans="49:58" ht="15" customHeight="1">
      <c r="BF308" s="105">
        <v>25</v>
      </c>
    </row>
    <row r="309" spans="49:58" ht="15" customHeight="1">
      <c r="AW309" s="129"/>
      <c r="BF309" s="105">
        <v>26</v>
      </c>
    </row>
    <row r="310" spans="49:58" ht="15" customHeight="1">
      <c r="BF310" s="105">
        <v>27</v>
      </c>
    </row>
    <row r="311" spans="49:58" ht="15" customHeight="1">
      <c r="BF311" s="105">
        <v>28</v>
      </c>
    </row>
    <row r="312" spans="49:58" ht="15" customHeight="1">
      <c r="BF312" s="105">
        <v>29</v>
      </c>
    </row>
    <row r="313" spans="49:58" ht="15" customHeight="1">
      <c r="BF313" s="105">
        <v>30</v>
      </c>
    </row>
    <row r="314" spans="49:58" ht="15" customHeight="1">
      <c r="BF314" s="105">
        <v>31</v>
      </c>
    </row>
    <row r="315" spans="49:58" ht="15" customHeight="1">
      <c r="BF315" s="105">
        <v>32</v>
      </c>
    </row>
    <row r="316" spans="49:58" ht="15" customHeight="1">
      <c r="BF316" s="105">
        <v>33</v>
      </c>
    </row>
    <row r="317" spans="49:58" ht="15" customHeight="1">
      <c r="BF317" s="105">
        <v>34</v>
      </c>
    </row>
    <row r="318" spans="49:58" ht="15" customHeight="1">
      <c r="BF318" s="105">
        <v>35</v>
      </c>
    </row>
    <row r="319" spans="49:58" ht="15" customHeight="1">
      <c r="BF319" s="105">
        <v>36</v>
      </c>
    </row>
    <row r="320" spans="49:58" ht="15" customHeight="1">
      <c r="BF320" s="105">
        <v>37</v>
      </c>
    </row>
    <row r="321" spans="58:58" ht="15" customHeight="1">
      <c r="BF321" s="105">
        <v>38</v>
      </c>
    </row>
    <row r="322" spans="58:58" ht="15" customHeight="1">
      <c r="BF322" s="105">
        <v>39</v>
      </c>
    </row>
    <row r="323" spans="58:58" ht="15" customHeight="1">
      <c r="BF323" s="105">
        <v>40</v>
      </c>
    </row>
    <row r="324" spans="58:58" ht="15" customHeight="1">
      <c r="BF324" s="105">
        <v>41</v>
      </c>
    </row>
    <row r="325" spans="58:58" ht="15" customHeight="1">
      <c r="BF325" s="105">
        <v>42</v>
      </c>
    </row>
    <row r="326" spans="58:58" ht="15" customHeight="1">
      <c r="BF326" s="105">
        <v>43</v>
      </c>
    </row>
    <row r="327" spans="58:58" ht="15" customHeight="1">
      <c r="BF327" s="105">
        <v>44</v>
      </c>
    </row>
    <row r="328" spans="58:58" ht="15" customHeight="1">
      <c r="BF328" s="105">
        <v>45</v>
      </c>
    </row>
    <row r="329" spans="58:58" ht="15" customHeight="1">
      <c r="BF329" s="105">
        <v>46</v>
      </c>
    </row>
    <row r="330" spans="58:58" ht="15" customHeight="1">
      <c r="BF330" s="105">
        <v>47</v>
      </c>
    </row>
    <row r="331" spans="58:58" ht="15" customHeight="1">
      <c r="BF331" s="105">
        <v>48</v>
      </c>
    </row>
    <row r="332" spans="58:58" ht="15" customHeight="1">
      <c r="BF332" s="105">
        <v>49</v>
      </c>
    </row>
    <row r="333" spans="58:58" ht="15" customHeight="1">
      <c r="BF333" s="105">
        <v>50</v>
      </c>
    </row>
    <row r="334" spans="58:58" ht="15" customHeight="1">
      <c r="BF334" s="105">
        <v>51</v>
      </c>
    </row>
    <row r="335" spans="58:58" ht="15" customHeight="1">
      <c r="BF335" s="105">
        <v>52</v>
      </c>
    </row>
    <row r="336" spans="58:58" ht="15" customHeight="1">
      <c r="BF336" s="105">
        <v>53</v>
      </c>
    </row>
    <row r="337" spans="58:58" ht="15" customHeight="1">
      <c r="BF337" s="105">
        <v>54</v>
      </c>
    </row>
    <row r="338" spans="58:58" ht="15" customHeight="1">
      <c r="BF338" s="105">
        <v>55</v>
      </c>
    </row>
    <row r="339" spans="58:58" ht="15" customHeight="1">
      <c r="BF339" s="105">
        <v>56</v>
      </c>
    </row>
    <row r="340" spans="58:58" ht="15" customHeight="1">
      <c r="BF340" s="105">
        <v>57</v>
      </c>
    </row>
    <row r="341" spans="58:58" ht="15" customHeight="1">
      <c r="BF341" s="105">
        <v>58</v>
      </c>
    </row>
    <row r="342" spans="58:58" ht="15" customHeight="1">
      <c r="BF342" s="105">
        <v>59</v>
      </c>
    </row>
    <row r="343" spans="58:58" ht="15" customHeight="1">
      <c r="BF343" s="105">
        <v>60</v>
      </c>
    </row>
    <row r="344" spans="58:58" ht="15" customHeight="1">
      <c r="BF344" s="105">
        <v>61</v>
      </c>
    </row>
    <row r="345" spans="58:58" ht="15" customHeight="1">
      <c r="BF345" s="105">
        <v>62</v>
      </c>
    </row>
    <row r="346" spans="58:58" ht="15" customHeight="1">
      <c r="BF346" s="105">
        <v>63</v>
      </c>
    </row>
    <row r="347" spans="58:58" ht="15" customHeight="1">
      <c r="BF347" s="105">
        <v>64</v>
      </c>
    </row>
    <row r="348" spans="58:58" ht="15" customHeight="1">
      <c r="BF348" s="105">
        <v>65</v>
      </c>
    </row>
    <row r="349" spans="58:58" ht="15" customHeight="1">
      <c r="BF349" s="105">
        <v>66</v>
      </c>
    </row>
    <row r="350" spans="58:58" ht="15" customHeight="1">
      <c r="BF350" s="105">
        <v>67</v>
      </c>
    </row>
    <row r="351" spans="58:58" ht="15" customHeight="1">
      <c r="BF351" s="105">
        <v>68</v>
      </c>
    </row>
    <row r="352" spans="58:58" ht="15" customHeight="1">
      <c r="BF352" s="105">
        <v>69</v>
      </c>
    </row>
    <row r="353" spans="58:58" ht="15" customHeight="1">
      <c r="BF353" s="105">
        <v>70</v>
      </c>
    </row>
    <row r="354" spans="58:58" ht="15" customHeight="1">
      <c r="BF354" s="105">
        <v>71</v>
      </c>
    </row>
    <row r="355" spans="58:58" ht="15" customHeight="1">
      <c r="BF355" s="105">
        <v>72</v>
      </c>
    </row>
    <row r="356" spans="58:58" ht="15" customHeight="1">
      <c r="BF356" s="105">
        <v>73</v>
      </c>
    </row>
    <row r="357" spans="58:58" ht="15" customHeight="1">
      <c r="BF357" s="105">
        <v>74</v>
      </c>
    </row>
    <row r="358" spans="58:58" ht="15" customHeight="1">
      <c r="BF358" s="105">
        <v>75</v>
      </c>
    </row>
    <row r="359" spans="58:58" ht="15" customHeight="1">
      <c r="BF359" s="105">
        <v>76</v>
      </c>
    </row>
    <row r="360" spans="58:58" ht="15" customHeight="1">
      <c r="BF360" s="105">
        <v>77</v>
      </c>
    </row>
    <row r="361" spans="58:58" ht="15" customHeight="1">
      <c r="BF361" s="105">
        <v>78</v>
      </c>
    </row>
    <row r="362" spans="58:58" ht="15" customHeight="1">
      <c r="BF362" s="105">
        <v>79</v>
      </c>
    </row>
    <row r="363" spans="58:58" ht="15" customHeight="1">
      <c r="BF363" s="105">
        <v>80</v>
      </c>
    </row>
    <row r="364" spans="58:58" ht="15" customHeight="1">
      <c r="BF364" s="105">
        <v>81</v>
      </c>
    </row>
    <row r="365" spans="58:58" ht="15" customHeight="1">
      <c r="BF365" s="105">
        <v>82</v>
      </c>
    </row>
    <row r="366" spans="58:58" ht="15" customHeight="1">
      <c r="BF366" s="105">
        <v>83</v>
      </c>
    </row>
    <row r="367" spans="58:58" ht="15" customHeight="1">
      <c r="BF367" s="105">
        <v>84</v>
      </c>
    </row>
    <row r="368" spans="58:58" ht="15" customHeight="1">
      <c r="BF368" s="105">
        <v>85</v>
      </c>
    </row>
    <row r="369" spans="58:58" ht="15" customHeight="1">
      <c r="BF369" s="105">
        <v>86</v>
      </c>
    </row>
    <row r="370" spans="58:58" ht="15" customHeight="1">
      <c r="BF370" s="105">
        <v>87</v>
      </c>
    </row>
    <row r="371" spans="58:58" ht="15" customHeight="1">
      <c r="BF371" s="105">
        <v>88</v>
      </c>
    </row>
    <row r="372" spans="58:58" ht="15" customHeight="1">
      <c r="BF372" s="105">
        <v>89</v>
      </c>
    </row>
    <row r="373" spans="58:58" ht="15" customHeight="1">
      <c r="BF373" s="105">
        <v>90</v>
      </c>
    </row>
    <row r="374" spans="58:58" ht="15" customHeight="1">
      <c r="BF374" s="105">
        <v>91</v>
      </c>
    </row>
    <row r="375" spans="58:58" ht="15" customHeight="1">
      <c r="BF375" s="105">
        <v>92</v>
      </c>
    </row>
    <row r="376" spans="58:58" ht="15" customHeight="1">
      <c r="BF376" s="105">
        <v>93</v>
      </c>
    </row>
    <row r="377" spans="58:58" ht="15" customHeight="1">
      <c r="BF377" s="105">
        <v>94</v>
      </c>
    </row>
    <row r="378" spans="58:58" ht="15" customHeight="1">
      <c r="BF378" s="105">
        <v>95</v>
      </c>
    </row>
    <row r="379" spans="58:58" ht="15" customHeight="1">
      <c r="BF379" s="105">
        <v>96</v>
      </c>
    </row>
    <row r="380" spans="58:58" ht="15" customHeight="1">
      <c r="BF380" s="105">
        <v>97</v>
      </c>
    </row>
    <row r="381" spans="58:58" ht="15" customHeight="1">
      <c r="BF381" s="105">
        <v>98</v>
      </c>
    </row>
    <row r="382" spans="58:58" ht="15" customHeight="1">
      <c r="BF382" s="105">
        <v>99</v>
      </c>
    </row>
    <row r="383" spans="58:58" ht="15" customHeight="1">
      <c r="BF383" s="105">
        <v>100</v>
      </c>
    </row>
    <row r="384" spans="58:58" ht="15" customHeight="1">
      <c r="BF384" s="105">
        <v>101</v>
      </c>
    </row>
    <row r="385" spans="58:58" ht="15" customHeight="1">
      <c r="BF385" s="105">
        <v>102</v>
      </c>
    </row>
    <row r="386" spans="58:58" ht="15" customHeight="1">
      <c r="BF386" s="105">
        <v>103</v>
      </c>
    </row>
    <row r="387" spans="58:58" ht="15" customHeight="1">
      <c r="BF387" s="105">
        <v>104</v>
      </c>
    </row>
    <row r="388" spans="58:58" ht="15" customHeight="1">
      <c r="BF388" s="105">
        <v>105</v>
      </c>
    </row>
    <row r="389" spans="58:58" ht="15" customHeight="1">
      <c r="BF389" s="105">
        <v>106</v>
      </c>
    </row>
    <row r="390" spans="58:58" ht="15" customHeight="1">
      <c r="BF390" s="105">
        <v>107</v>
      </c>
    </row>
    <row r="391" spans="58:58" ht="15" customHeight="1">
      <c r="BF391" s="105">
        <v>108</v>
      </c>
    </row>
    <row r="392" spans="58:58" ht="15" customHeight="1">
      <c r="BF392" s="105">
        <v>109</v>
      </c>
    </row>
    <row r="393" spans="58:58" ht="15" customHeight="1">
      <c r="BF393" s="105">
        <v>110</v>
      </c>
    </row>
    <row r="394" spans="58:58" ht="15" customHeight="1">
      <c r="BF394" s="105">
        <v>111</v>
      </c>
    </row>
    <row r="395" spans="58:58" ht="15" customHeight="1">
      <c r="BF395" s="105">
        <v>112</v>
      </c>
    </row>
    <row r="396" spans="58:58" ht="15" customHeight="1">
      <c r="BF396" s="105">
        <v>113</v>
      </c>
    </row>
    <row r="397" spans="58:58" ht="15" customHeight="1">
      <c r="BF397" s="105">
        <v>114</v>
      </c>
    </row>
    <row r="398" spans="58:58" ht="15" customHeight="1">
      <c r="BF398" s="105">
        <v>115</v>
      </c>
    </row>
    <row r="399" spans="58:58" ht="15" customHeight="1">
      <c r="BF399" s="105">
        <v>116</v>
      </c>
    </row>
    <row r="400" spans="58:58" ht="15" customHeight="1">
      <c r="BF400" s="105">
        <v>117</v>
      </c>
    </row>
    <row r="401" spans="58:58" ht="15" customHeight="1">
      <c r="BF401" s="105">
        <v>118</v>
      </c>
    </row>
    <row r="402" spans="58:58" ht="15" customHeight="1">
      <c r="BF402" s="105">
        <v>119</v>
      </c>
    </row>
    <row r="403" spans="58:58" ht="15" customHeight="1">
      <c r="BF403" s="105">
        <v>120</v>
      </c>
    </row>
    <row r="404" spans="58:58" ht="15" customHeight="1">
      <c r="BF404" s="105">
        <v>121</v>
      </c>
    </row>
    <row r="405" spans="58:58" ht="15" customHeight="1">
      <c r="BF405" s="105">
        <v>122</v>
      </c>
    </row>
    <row r="406" spans="58:58" ht="15" customHeight="1">
      <c r="BF406" s="105">
        <v>123</v>
      </c>
    </row>
    <row r="407" spans="58:58" ht="15" customHeight="1">
      <c r="BF407" s="105">
        <v>124</v>
      </c>
    </row>
    <row r="408" spans="58:58" ht="15" customHeight="1">
      <c r="BF408" s="105">
        <v>125</v>
      </c>
    </row>
    <row r="409" spans="58:58" ht="15" customHeight="1">
      <c r="BF409" s="105">
        <v>126</v>
      </c>
    </row>
    <row r="410" spans="58:58" ht="15" customHeight="1">
      <c r="BF410" s="105">
        <v>127</v>
      </c>
    </row>
    <row r="411" spans="58:58" ht="15" customHeight="1">
      <c r="BF411" s="105">
        <v>128</v>
      </c>
    </row>
    <row r="412" spans="58:58" ht="15" customHeight="1">
      <c r="BF412" s="105">
        <v>129</v>
      </c>
    </row>
    <row r="413" spans="58:58" ht="15" customHeight="1">
      <c r="BF413" s="105">
        <v>130</v>
      </c>
    </row>
    <row r="414" spans="58:58" ht="15" customHeight="1">
      <c r="BF414" s="105">
        <v>131</v>
      </c>
    </row>
    <row r="415" spans="58:58" ht="15" customHeight="1">
      <c r="BF415" s="105">
        <v>132</v>
      </c>
    </row>
    <row r="416" spans="58:58" ht="15" customHeight="1">
      <c r="BF416" s="105">
        <v>133</v>
      </c>
    </row>
    <row r="417" spans="58:58" ht="15" customHeight="1">
      <c r="BF417" s="105">
        <v>134</v>
      </c>
    </row>
    <row r="418" spans="58:58" ht="15" customHeight="1">
      <c r="BF418" s="105">
        <v>135</v>
      </c>
    </row>
    <row r="419" spans="58:58" ht="15" customHeight="1">
      <c r="BF419" s="105">
        <v>136</v>
      </c>
    </row>
    <row r="420" spans="58:58" ht="15" customHeight="1">
      <c r="BF420" s="105">
        <v>137</v>
      </c>
    </row>
    <row r="421" spans="58:58" ht="15" customHeight="1">
      <c r="BF421" s="105">
        <v>138</v>
      </c>
    </row>
    <row r="422" spans="58:58" ht="15" customHeight="1">
      <c r="BF422" s="105">
        <v>139</v>
      </c>
    </row>
    <row r="423" spans="58:58" ht="15" customHeight="1">
      <c r="BF423" s="105">
        <v>140</v>
      </c>
    </row>
    <row r="424" spans="58:58" ht="15" customHeight="1">
      <c r="BF424" s="105">
        <v>141</v>
      </c>
    </row>
    <row r="425" spans="58:58" ht="15" customHeight="1">
      <c r="BF425" s="105">
        <v>142</v>
      </c>
    </row>
    <row r="426" spans="58:58" ht="15" customHeight="1">
      <c r="BF426" s="105">
        <v>143</v>
      </c>
    </row>
    <row r="427" spans="58:58" ht="15" customHeight="1">
      <c r="BF427" s="105">
        <v>144</v>
      </c>
    </row>
    <row r="428" spans="58:58" ht="15" customHeight="1">
      <c r="BF428" s="105">
        <v>145</v>
      </c>
    </row>
    <row r="429" spans="58:58" ht="15" customHeight="1">
      <c r="BF429" s="105">
        <v>146</v>
      </c>
    </row>
    <row r="430" spans="58:58" ht="15" customHeight="1">
      <c r="BF430" s="105">
        <v>147</v>
      </c>
    </row>
    <row r="431" spans="58:58" ht="15" customHeight="1">
      <c r="BF431" s="105">
        <v>148</v>
      </c>
    </row>
    <row r="432" spans="58:58" ht="15" customHeight="1">
      <c r="BF432" s="105">
        <v>149</v>
      </c>
    </row>
    <row r="433" spans="58:58" ht="15" customHeight="1">
      <c r="BF433" s="105">
        <v>150</v>
      </c>
    </row>
    <row r="434" spans="58:58" ht="15" customHeight="1">
      <c r="BF434" s="105">
        <v>151</v>
      </c>
    </row>
    <row r="435" spans="58:58" ht="15" customHeight="1">
      <c r="BF435" s="105">
        <v>152</v>
      </c>
    </row>
    <row r="436" spans="58:58" ht="15" customHeight="1">
      <c r="BF436" s="105">
        <v>153</v>
      </c>
    </row>
    <row r="437" spans="58:58" ht="15" customHeight="1">
      <c r="BF437" s="105">
        <v>154</v>
      </c>
    </row>
    <row r="438" spans="58:58" ht="15" customHeight="1">
      <c r="BF438" s="105">
        <v>155</v>
      </c>
    </row>
    <row r="439" spans="58:58" ht="15" customHeight="1">
      <c r="BF439" s="105">
        <v>156</v>
      </c>
    </row>
    <row r="440" spans="58:58" ht="15" customHeight="1">
      <c r="BF440" s="105">
        <v>157</v>
      </c>
    </row>
    <row r="441" spans="58:58" ht="15" customHeight="1">
      <c r="BF441" s="105">
        <v>158</v>
      </c>
    </row>
    <row r="442" spans="58:58" ht="15" customHeight="1">
      <c r="BF442" s="105">
        <v>159</v>
      </c>
    </row>
    <row r="443" spans="58:58" ht="15" customHeight="1">
      <c r="BF443" s="105">
        <v>160</v>
      </c>
    </row>
    <row r="444" spans="58:58" ht="15" customHeight="1">
      <c r="BF444" s="105">
        <v>161</v>
      </c>
    </row>
    <row r="445" spans="58:58" ht="15" customHeight="1">
      <c r="BF445" s="105">
        <v>162</v>
      </c>
    </row>
    <row r="446" spans="58:58" ht="15" customHeight="1">
      <c r="BF446" s="105">
        <v>163</v>
      </c>
    </row>
    <row r="447" spans="58:58" ht="15" customHeight="1">
      <c r="BF447" s="105">
        <v>164</v>
      </c>
    </row>
    <row r="448" spans="58:58" ht="15" customHeight="1">
      <c r="BF448" s="105">
        <v>165</v>
      </c>
    </row>
    <row r="449" spans="58:58" ht="15" customHeight="1">
      <c r="BF449" s="105">
        <v>166</v>
      </c>
    </row>
    <row r="450" spans="58:58" ht="15" customHeight="1">
      <c r="BF450" s="105">
        <v>167</v>
      </c>
    </row>
    <row r="451" spans="58:58" ht="15" customHeight="1">
      <c r="BF451" s="105">
        <v>168</v>
      </c>
    </row>
    <row r="452" spans="58:58" ht="15" customHeight="1">
      <c r="BF452" s="105">
        <v>169</v>
      </c>
    </row>
    <row r="453" spans="58:58" ht="15" customHeight="1">
      <c r="BF453" s="105">
        <v>170</v>
      </c>
    </row>
    <row r="454" spans="58:58" ht="15" customHeight="1">
      <c r="BF454" s="105">
        <v>171</v>
      </c>
    </row>
    <row r="455" spans="58:58" ht="15" customHeight="1">
      <c r="BF455" s="105">
        <v>172</v>
      </c>
    </row>
    <row r="456" spans="58:58" ht="15" customHeight="1">
      <c r="BF456" s="105">
        <v>173</v>
      </c>
    </row>
    <row r="457" spans="58:58" ht="15" customHeight="1">
      <c r="BF457" s="105">
        <v>174</v>
      </c>
    </row>
    <row r="458" spans="58:58" ht="15" customHeight="1">
      <c r="BF458" s="105">
        <v>175</v>
      </c>
    </row>
    <row r="459" spans="58:58" ht="15" customHeight="1">
      <c r="BF459" s="105">
        <v>176</v>
      </c>
    </row>
    <row r="460" spans="58:58" ht="15" customHeight="1">
      <c r="BF460" s="105">
        <v>177</v>
      </c>
    </row>
    <row r="461" spans="58:58" ht="15" customHeight="1">
      <c r="BF461" s="105">
        <v>178</v>
      </c>
    </row>
    <row r="462" spans="58:58" ht="15" customHeight="1">
      <c r="BF462" s="105">
        <v>179</v>
      </c>
    </row>
    <row r="463" spans="58:58" ht="15" customHeight="1">
      <c r="BF463" s="105">
        <v>180</v>
      </c>
    </row>
    <row r="464" spans="58:58" ht="15" customHeight="1">
      <c r="BF464" s="105">
        <v>181</v>
      </c>
    </row>
    <row r="465" spans="58:58" ht="15" customHeight="1">
      <c r="BF465" s="105">
        <v>182</v>
      </c>
    </row>
    <row r="466" spans="58:58" ht="15" customHeight="1">
      <c r="BF466" s="105">
        <v>183</v>
      </c>
    </row>
    <row r="467" spans="58:58" ht="15" customHeight="1">
      <c r="BF467" s="105">
        <v>184</v>
      </c>
    </row>
    <row r="468" spans="58:58" ht="15" customHeight="1">
      <c r="BF468" s="105">
        <v>185</v>
      </c>
    </row>
    <row r="469" spans="58:58" ht="15" customHeight="1">
      <c r="BF469" s="105">
        <v>186</v>
      </c>
    </row>
    <row r="470" spans="58:58" ht="15" customHeight="1">
      <c r="BF470" s="105">
        <v>187</v>
      </c>
    </row>
    <row r="471" spans="58:58" ht="15" customHeight="1">
      <c r="BF471" s="105">
        <v>188</v>
      </c>
    </row>
    <row r="472" spans="58:58" ht="15" customHeight="1">
      <c r="BF472" s="105">
        <v>189</v>
      </c>
    </row>
    <row r="473" spans="58:58" ht="15" customHeight="1">
      <c r="BF473" s="105">
        <v>190</v>
      </c>
    </row>
    <row r="474" spans="58:58" ht="15" customHeight="1">
      <c r="BF474" s="105">
        <v>191</v>
      </c>
    </row>
    <row r="475" spans="58:58" ht="15" customHeight="1">
      <c r="BF475" s="105">
        <v>192</v>
      </c>
    </row>
    <row r="476" spans="58:58" ht="15" customHeight="1">
      <c r="BF476" s="105">
        <v>193</v>
      </c>
    </row>
    <row r="477" spans="58:58" ht="15" customHeight="1">
      <c r="BF477" s="105">
        <v>194</v>
      </c>
    </row>
    <row r="478" spans="58:58" ht="15" customHeight="1">
      <c r="BF478" s="105">
        <v>195</v>
      </c>
    </row>
    <row r="479" spans="58:58" ht="15" customHeight="1">
      <c r="BF479" s="105">
        <v>196</v>
      </c>
    </row>
    <row r="480" spans="58:58" ht="15" customHeight="1">
      <c r="BF480" s="105">
        <v>197</v>
      </c>
    </row>
    <row r="481" spans="58:58" ht="15" customHeight="1">
      <c r="BF481" s="105">
        <v>198</v>
      </c>
    </row>
    <row r="482" spans="58:58" ht="15" customHeight="1">
      <c r="BF482" s="105">
        <v>199</v>
      </c>
    </row>
    <row r="483" spans="58:58" ht="15" customHeight="1">
      <c r="BF483" s="105">
        <v>200</v>
      </c>
    </row>
    <row r="484" spans="58:58" ht="15" customHeight="1">
      <c r="BF484" s="105">
        <v>201</v>
      </c>
    </row>
    <row r="485" spans="58:58" ht="15" customHeight="1">
      <c r="BF485" s="105">
        <v>202</v>
      </c>
    </row>
    <row r="486" spans="58:58" ht="15" customHeight="1">
      <c r="BF486" s="105">
        <v>203</v>
      </c>
    </row>
    <row r="487" spans="58:58" ht="15" customHeight="1">
      <c r="BF487" s="105">
        <v>204</v>
      </c>
    </row>
    <row r="488" spans="58:58" ht="15" customHeight="1">
      <c r="BF488" s="105">
        <v>205</v>
      </c>
    </row>
    <row r="489" spans="58:58" ht="15" customHeight="1">
      <c r="BF489" s="105">
        <v>206</v>
      </c>
    </row>
    <row r="490" spans="58:58" ht="15" customHeight="1">
      <c r="BF490" s="105">
        <v>207</v>
      </c>
    </row>
    <row r="491" spans="58:58" ht="15" customHeight="1">
      <c r="BF491" s="105">
        <v>208</v>
      </c>
    </row>
    <row r="492" spans="58:58" ht="15" customHeight="1">
      <c r="BF492" s="105">
        <v>209</v>
      </c>
    </row>
    <row r="493" spans="58:58" ht="15" customHeight="1">
      <c r="BF493" s="105">
        <v>210</v>
      </c>
    </row>
    <row r="494" spans="58:58" ht="15" customHeight="1">
      <c r="BF494" s="105">
        <v>211</v>
      </c>
    </row>
    <row r="495" spans="58:58" ht="15" customHeight="1">
      <c r="BF495" s="105">
        <v>212</v>
      </c>
    </row>
    <row r="496" spans="58:58" ht="15" customHeight="1">
      <c r="BF496" s="105">
        <v>213</v>
      </c>
    </row>
    <row r="497" spans="58:58" ht="15" customHeight="1">
      <c r="BF497" s="105">
        <v>214</v>
      </c>
    </row>
    <row r="498" spans="58:58" ht="15" customHeight="1">
      <c r="BF498" s="105">
        <v>215</v>
      </c>
    </row>
    <row r="499" spans="58:58" ht="15" customHeight="1">
      <c r="BF499" s="105">
        <v>216</v>
      </c>
    </row>
    <row r="500" spans="58:58" ht="15" customHeight="1">
      <c r="BF500" s="105">
        <v>217</v>
      </c>
    </row>
    <row r="501" spans="58:58" ht="15" customHeight="1">
      <c r="BF501" s="105">
        <v>218</v>
      </c>
    </row>
    <row r="502" spans="58:58" ht="15" customHeight="1">
      <c r="BF502" s="105">
        <v>219</v>
      </c>
    </row>
    <row r="503" spans="58:58" ht="15" customHeight="1">
      <c r="BF503" s="105">
        <v>220</v>
      </c>
    </row>
    <row r="504" spans="58:58" ht="15" customHeight="1">
      <c r="BF504" s="105">
        <v>221</v>
      </c>
    </row>
    <row r="505" spans="58:58" ht="15" customHeight="1">
      <c r="BF505" s="105">
        <v>222</v>
      </c>
    </row>
    <row r="506" spans="58:58" ht="15" customHeight="1">
      <c r="BF506" s="105">
        <v>223</v>
      </c>
    </row>
    <row r="507" spans="58:58" ht="15" customHeight="1">
      <c r="BF507" s="105">
        <v>224</v>
      </c>
    </row>
    <row r="508" spans="58:58" ht="15" customHeight="1">
      <c r="BF508" s="105">
        <v>225</v>
      </c>
    </row>
    <row r="509" spans="58:58" ht="15" customHeight="1">
      <c r="BF509" s="105">
        <v>226</v>
      </c>
    </row>
    <row r="510" spans="58:58" ht="15" customHeight="1">
      <c r="BF510" s="105">
        <v>227</v>
      </c>
    </row>
    <row r="511" spans="58:58" ht="15" customHeight="1">
      <c r="BF511" s="105">
        <v>228</v>
      </c>
    </row>
    <row r="512" spans="58:58" ht="15" customHeight="1">
      <c r="BF512" s="105">
        <v>229</v>
      </c>
    </row>
    <row r="513" spans="58:58" ht="15" customHeight="1">
      <c r="BF513" s="105">
        <v>230</v>
      </c>
    </row>
    <row r="514" spans="58:58" ht="15" customHeight="1">
      <c r="BF514" s="105">
        <v>231</v>
      </c>
    </row>
    <row r="515" spans="58:58" ht="15" customHeight="1">
      <c r="BF515" s="105">
        <v>232</v>
      </c>
    </row>
    <row r="516" spans="58:58" ht="15" customHeight="1">
      <c r="BF516" s="105">
        <v>233</v>
      </c>
    </row>
    <row r="517" spans="58:58" ht="15" customHeight="1">
      <c r="BF517" s="105">
        <v>234</v>
      </c>
    </row>
    <row r="518" spans="58:58" ht="15" customHeight="1">
      <c r="BF518" s="105">
        <v>235</v>
      </c>
    </row>
    <row r="519" spans="58:58" ht="15" customHeight="1">
      <c r="BF519" s="105">
        <v>236</v>
      </c>
    </row>
    <row r="520" spans="58:58" ht="15" customHeight="1">
      <c r="BF520" s="105">
        <v>237</v>
      </c>
    </row>
    <row r="521" spans="58:58" ht="15" customHeight="1">
      <c r="BF521" s="105">
        <v>238</v>
      </c>
    </row>
    <row r="522" spans="58:58" ht="15" customHeight="1">
      <c r="BF522" s="105">
        <v>239</v>
      </c>
    </row>
    <row r="523" spans="58:58" ht="15" customHeight="1">
      <c r="BF523" s="105">
        <v>240</v>
      </c>
    </row>
    <row r="524" spans="58:58" ht="15" customHeight="1">
      <c r="BF524" s="105">
        <v>241</v>
      </c>
    </row>
    <row r="525" spans="58:58" ht="15" customHeight="1">
      <c r="BF525" s="105">
        <v>242</v>
      </c>
    </row>
    <row r="526" spans="58:58" ht="15" customHeight="1">
      <c r="BF526" s="105">
        <v>243</v>
      </c>
    </row>
    <row r="527" spans="58:58" ht="15" customHeight="1">
      <c r="BF527" s="105">
        <v>244</v>
      </c>
    </row>
    <row r="528" spans="58:58" ht="15" customHeight="1">
      <c r="BF528" s="105">
        <v>245</v>
      </c>
    </row>
    <row r="529" spans="58:58" ht="15" customHeight="1">
      <c r="BF529" s="105">
        <v>246</v>
      </c>
    </row>
    <row r="530" spans="58:58" ht="15" customHeight="1">
      <c r="BF530" s="105">
        <v>247</v>
      </c>
    </row>
    <row r="531" spans="58:58" ht="15" customHeight="1">
      <c r="BF531" s="105">
        <v>248</v>
      </c>
    </row>
    <row r="532" spans="58:58" ht="15" customHeight="1">
      <c r="BF532" s="105">
        <v>249</v>
      </c>
    </row>
    <row r="533" spans="58:58" ht="15" customHeight="1">
      <c r="BF533" s="105">
        <v>250</v>
      </c>
    </row>
    <row r="534" spans="58:58" ht="15" customHeight="1">
      <c r="BF534" s="105">
        <v>251</v>
      </c>
    </row>
    <row r="535" spans="58:58" ht="15" customHeight="1">
      <c r="BF535" s="105">
        <v>252</v>
      </c>
    </row>
    <row r="536" spans="58:58" ht="15" customHeight="1">
      <c r="BF536" s="105">
        <v>253</v>
      </c>
    </row>
    <row r="537" spans="58:58" ht="15" customHeight="1">
      <c r="BF537" s="105">
        <v>254</v>
      </c>
    </row>
    <row r="538" spans="58:58" ht="15" customHeight="1">
      <c r="BF538" s="105">
        <v>255</v>
      </c>
    </row>
    <row r="539" spans="58:58" ht="15" customHeight="1">
      <c r="BF539" s="105">
        <v>256</v>
      </c>
    </row>
    <row r="540" spans="58:58" ht="15" customHeight="1">
      <c r="BF540" s="105">
        <v>257</v>
      </c>
    </row>
    <row r="541" spans="58:58" ht="15" customHeight="1">
      <c r="BF541" s="105">
        <v>258</v>
      </c>
    </row>
    <row r="542" spans="58:58" ht="15" customHeight="1">
      <c r="BF542" s="105">
        <v>259</v>
      </c>
    </row>
    <row r="543" spans="58:58" ht="15" customHeight="1">
      <c r="BF543" s="105">
        <v>260</v>
      </c>
    </row>
    <row r="544" spans="58:58" ht="15" customHeight="1">
      <c r="BF544" s="105">
        <v>261</v>
      </c>
    </row>
    <row r="545" spans="58:58" ht="15" customHeight="1">
      <c r="BF545" s="105">
        <v>262</v>
      </c>
    </row>
    <row r="546" spans="58:58" ht="15" customHeight="1">
      <c r="BF546" s="105">
        <v>263</v>
      </c>
    </row>
    <row r="547" spans="58:58" ht="15" customHeight="1">
      <c r="BF547" s="105">
        <v>264</v>
      </c>
    </row>
    <row r="548" spans="58:58" ht="15" customHeight="1">
      <c r="BF548" s="105">
        <v>265</v>
      </c>
    </row>
    <row r="549" spans="58:58" ht="15" customHeight="1">
      <c r="BF549" s="105">
        <v>266</v>
      </c>
    </row>
    <row r="550" spans="58:58" ht="15" customHeight="1">
      <c r="BF550" s="105">
        <v>267</v>
      </c>
    </row>
    <row r="551" spans="58:58" ht="15" customHeight="1">
      <c r="BF551" s="105">
        <v>268</v>
      </c>
    </row>
    <row r="552" spans="58:58" ht="15" customHeight="1">
      <c r="BF552" s="105">
        <v>269</v>
      </c>
    </row>
    <row r="553" spans="58:58" ht="15" customHeight="1">
      <c r="BF553" s="105">
        <v>270</v>
      </c>
    </row>
    <row r="554" spans="58:58" ht="15" customHeight="1">
      <c r="BF554" s="105">
        <v>271</v>
      </c>
    </row>
    <row r="555" spans="58:58" ht="15" customHeight="1">
      <c r="BF555" s="105">
        <v>272</v>
      </c>
    </row>
    <row r="556" spans="58:58" ht="15" customHeight="1">
      <c r="BF556" s="105">
        <v>273</v>
      </c>
    </row>
    <row r="557" spans="58:58" ht="15" customHeight="1">
      <c r="BF557" s="105">
        <v>274</v>
      </c>
    </row>
    <row r="558" spans="58:58" ht="15" customHeight="1">
      <c r="BF558" s="105">
        <v>275</v>
      </c>
    </row>
    <row r="559" spans="58:58" ht="15" customHeight="1">
      <c r="BF559" s="105">
        <v>276</v>
      </c>
    </row>
    <row r="560" spans="58:58" ht="15" customHeight="1">
      <c r="BF560" s="105">
        <v>277</v>
      </c>
    </row>
    <row r="561" spans="58:58" ht="15" customHeight="1">
      <c r="BF561" s="105">
        <v>278</v>
      </c>
    </row>
    <row r="562" spans="58:58" ht="15" customHeight="1">
      <c r="BF562" s="105">
        <v>279</v>
      </c>
    </row>
    <row r="563" spans="58:58" ht="15" customHeight="1">
      <c r="BF563" s="105">
        <v>280</v>
      </c>
    </row>
    <row r="564" spans="58:58" ht="15" customHeight="1">
      <c r="BF564" s="105">
        <v>281</v>
      </c>
    </row>
    <row r="565" spans="58:58" ht="15" customHeight="1">
      <c r="BF565" s="105">
        <v>282</v>
      </c>
    </row>
    <row r="566" spans="58:58" ht="15" customHeight="1">
      <c r="BF566" s="105">
        <v>283</v>
      </c>
    </row>
    <row r="567" spans="58:58" ht="15" customHeight="1">
      <c r="BF567" s="105">
        <v>284</v>
      </c>
    </row>
    <row r="568" spans="58:58" ht="15" customHeight="1">
      <c r="BF568" s="105">
        <v>285</v>
      </c>
    </row>
    <row r="569" spans="58:58" ht="15" customHeight="1">
      <c r="BF569" s="105">
        <v>286</v>
      </c>
    </row>
    <row r="570" spans="58:58" ht="15" customHeight="1">
      <c r="BF570" s="105">
        <v>287</v>
      </c>
    </row>
    <row r="571" spans="58:58" ht="15" customHeight="1">
      <c r="BF571" s="105">
        <v>288</v>
      </c>
    </row>
    <row r="572" spans="58:58" ht="15" customHeight="1">
      <c r="BF572" s="105">
        <v>289</v>
      </c>
    </row>
    <row r="573" spans="58:58" ht="15" customHeight="1">
      <c r="BF573" s="105">
        <v>290</v>
      </c>
    </row>
    <row r="574" spans="58:58" ht="15" customHeight="1">
      <c r="BF574" s="105">
        <v>291</v>
      </c>
    </row>
    <row r="575" spans="58:58" ht="15" customHeight="1">
      <c r="BF575" s="105">
        <v>292</v>
      </c>
    </row>
    <row r="576" spans="58:58" ht="15" customHeight="1">
      <c r="BF576" s="105">
        <v>293</v>
      </c>
    </row>
    <row r="577" spans="58:58" ht="15" customHeight="1">
      <c r="BF577" s="105">
        <v>294</v>
      </c>
    </row>
    <row r="578" spans="58:58" ht="15" customHeight="1">
      <c r="BF578" s="105">
        <v>295</v>
      </c>
    </row>
    <row r="579" spans="58:58" ht="15" customHeight="1">
      <c r="BF579" s="105">
        <v>296</v>
      </c>
    </row>
    <row r="580" spans="58:58" ht="15" customHeight="1">
      <c r="BF580" s="105">
        <v>297</v>
      </c>
    </row>
    <row r="581" spans="58:58" ht="15" customHeight="1">
      <c r="BF581" s="105">
        <v>298</v>
      </c>
    </row>
    <row r="582" spans="58:58" ht="15" customHeight="1">
      <c r="BF582" s="105">
        <v>299</v>
      </c>
    </row>
    <row r="583" spans="58:58" ht="15" customHeight="1">
      <c r="BF583" s="105">
        <v>300</v>
      </c>
    </row>
    <row r="584" spans="58:58" ht="15" customHeight="1">
      <c r="BF584" s="105">
        <v>301</v>
      </c>
    </row>
    <row r="585" spans="58:58" ht="15" customHeight="1">
      <c r="BF585" s="105">
        <v>302</v>
      </c>
    </row>
    <row r="586" spans="58:58" ht="15" customHeight="1">
      <c r="BF586" s="105">
        <v>303</v>
      </c>
    </row>
    <row r="587" spans="58:58" ht="15" customHeight="1">
      <c r="BF587" s="105">
        <v>304</v>
      </c>
    </row>
    <row r="588" spans="58:58" ht="15" customHeight="1">
      <c r="BF588" s="105">
        <v>305</v>
      </c>
    </row>
    <row r="589" spans="58:58" ht="15" customHeight="1">
      <c r="BF589" s="105">
        <v>306</v>
      </c>
    </row>
    <row r="590" spans="58:58" ht="15" customHeight="1">
      <c r="BF590" s="105">
        <v>307</v>
      </c>
    </row>
    <row r="591" spans="58:58" ht="15" customHeight="1">
      <c r="BF591" s="105">
        <v>308</v>
      </c>
    </row>
    <row r="592" spans="58:58" ht="15" customHeight="1">
      <c r="BF592" s="105">
        <v>309</v>
      </c>
    </row>
    <row r="593" spans="58:58" ht="15" customHeight="1">
      <c r="BF593" s="105">
        <v>310</v>
      </c>
    </row>
    <row r="594" spans="58:58" ht="15" customHeight="1">
      <c r="BF594" s="105">
        <v>311</v>
      </c>
    </row>
    <row r="595" spans="58:58" ht="15" customHeight="1">
      <c r="BF595" s="105">
        <v>312</v>
      </c>
    </row>
    <row r="596" spans="58:58" ht="15" customHeight="1">
      <c r="BF596" s="105">
        <v>313</v>
      </c>
    </row>
    <row r="597" spans="58:58" ht="15" customHeight="1">
      <c r="BF597" s="105">
        <v>314</v>
      </c>
    </row>
    <row r="598" spans="58:58" ht="15" customHeight="1">
      <c r="BF598" s="105">
        <v>315</v>
      </c>
    </row>
    <row r="599" spans="58:58" ht="15" customHeight="1">
      <c r="BF599" s="105">
        <v>316</v>
      </c>
    </row>
    <row r="600" spans="58:58" ht="15" customHeight="1">
      <c r="BF600" s="105">
        <v>317</v>
      </c>
    </row>
    <row r="601" spans="58:58" ht="15" customHeight="1">
      <c r="BF601" s="105">
        <v>318</v>
      </c>
    </row>
    <row r="602" spans="58:58" ht="15" customHeight="1">
      <c r="BF602" s="105">
        <v>319</v>
      </c>
    </row>
    <row r="603" spans="58:58" ht="15" customHeight="1">
      <c r="BF603" s="105">
        <v>320</v>
      </c>
    </row>
    <row r="604" spans="58:58" ht="15" customHeight="1">
      <c r="BF604" s="105">
        <v>321</v>
      </c>
    </row>
    <row r="605" spans="58:58" ht="15" customHeight="1">
      <c r="BF605" s="105">
        <v>322</v>
      </c>
    </row>
    <row r="606" spans="58:58" ht="15" customHeight="1">
      <c r="BF606" s="105">
        <v>323</v>
      </c>
    </row>
    <row r="607" spans="58:58" ht="15" customHeight="1">
      <c r="BF607" s="105">
        <v>324</v>
      </c>
    </row>
    <row r="608" spans="58:58" ht="15" customHeight="1">
      <c r="BF608" s="105">
        <v>325</v>
      </c>
    </row>
    <row r="609" spans="58:58" ht="15" customHeight="1">
      <c r="BF609" s="105">
        <v>326</v>
      </c>
    </row>
    <row r="610" spans="58:58" ht="15" customHeight="1">
      <c r="BF610" s="105">
        <v>327</v>
      </c>
    </row>
    <row r="611" spans="58:58" ht="15" customHeight="1">
      <c r="BF611" s="105">
        <v>328</v>
      </c>
    </row>
    <row r="612" spans="58:58" ht="15" customHeight="1">
      <c r="BF612" s="105">
        <v>329</v>
      </c>
    </row>
    <row r="613" spans="58:58" ht="15" customHeight="1">
      <c r="BF613" s="105">
        <v>330</v>
      </c>
    </row>
    <row r="614" spans="58:58" ht="15" customHeight="1">
      <c r="BF614" s="105">
        <v>331</v>
      </c>
    </row>
    <row r="615" spans="58:58" ht="15" customHeight="1">
      <c r="BF615" s="105">
        <v>332</v>
      </c>
    </row>
    <row r="616" spans="58:58" ht="15" customHeight="1">
      <c r="BF616" s="105">
        <v>333</v>
      </c>
    </row>
    <row r="617" spans="58:58" ht="15" customHeight="1">
      <c r="BF617" s="105">
        <v>334</v>
      </c>
    </row>
    <row r="618" spans="58:58" ht="15" customHeight="1">
      <c r="BF618" s="105">
        <v>335</v>
      </c>
    </row>
    <row r="619" spans="58:58" ht="15" customHeight="1">
      <c r="BF619" s="105">
        <v>336</v>
      </c>
    </row>
    <row r="620" spans="58:58" ht="15" customHeight="1">
      <c r="BF620" s="105">
        <v>337</v>
      </c>
    </row>
    <row r="621" spans="58:58" ht="15" customHeight="1">
      <c r="BF621" s="105">
        <v>338</v>
      </c>
    </row>
    <row r="622" spans="58:58" ht="15" customHeight="1">
      <c r="BF622" s="105">
        <v>339</v>
      </c>
    </row>
    <row r="623" spans="58:58" ht="15" customHeight="1">
      <c r="BF623" s="105">
        <v>340</v>
      </c>
    </row>
    <row r="624" spans="58:58" ht="15" customHeight="1">
      <c r="BF624" s="105">
        <v>341</v>
      </c>
    </row>
    <row r="625" spans="58:58" ht="15" customHeight="1">
      <c r="BF625" s="105">
        <v>342</v>
      </c>
    </row>
    <row r="626" spans="58:58" ht="15" customHeight="1">
      <c r="BF626" s="105">
        <v>343</v>
      </c>
    </row>
    <row r="627" spans="58:58" ht="15" customHeight="1">
      <c r="BF627" s="105">
        <v>344</v>
      </c>
    </row>
    <row r="628" spans="58:58" ht="15" customHeight="1">
      <c r="BF628" s="105">
        <v>345</v>
      </c>
    </row>
    <row r="629" spans="58:58" ht="15" customHeight="1">
      <c r="BF629" s="105">
        <v>346</v>
      </c>
    </row>
    <row r="630" spans="58:58" ht="15" customHeight="1">
      <c r="BF630" s="105">
        <v>347</v>
      </c>
    </row>
    <row r="631" spans="58:58" ht="15" customHeight="1">
      <c r="BF631" s="105">
        <v>348</v>
      </c>
    </row>
    <row r="632" spans="58:58" ht="15" customHeight="1">
      <c r="BF632" s="105">
        <v>349</v>
      </c>
    </row>
    <row r="633" spans="58:58" ht="15" customHeight="1">
      <c r="BF633" s="105">
        <v>350</v>
      </c>
    </row>
    <row r="634" spans="58:58" ht="15" customHeight="1">
      <c r="BF634" s="105">
        <v>351</v>
      </c>
    </row>
    <row r="635" spans="58:58" ht="15" customHeight="1">
      <c r="BF635" s="105">
        <v>352</v>
      </c>
    </row>
    <row r="636" spans="58:58" ht="15" customHeight="1">
      <c r="BF636" s="105">
        <v>353</v>
      </c>
    </row>
    <row r="637" spans="58:58" ht="15" customHeight="1">
      <c r="BF637" s="105">
        <v>354</v>
      </c>
    </row>
    <row r="638" spans="58:58" ht="15" customHeight="1">
      <c r="BF638" s="105">
        <v>355</v>
      </c>
    </row>
    <row r="639" spans="58:58" ht="15" customHeight="1">
      <c r="BF639" s="105">
        <v>356</v>
      </c>
    </row>
    <row r="640" spans="58:58" ht="15" customHeight="1">
      <c r="BF640" s="105">
        <v>357</v>
      </c>
    </row>
    <row r="641" spans="58:58" ht="15" customHeight="1">
      <c r="BF641" s="105">
        <v>358</v>
      </c>
    </row>
    <row r="642" spans="58:58" ht="15" customHeight="1">
      <c r="BF642" s="105">
        <v>359</v>
      </c>
    </row>
    <row r="643" spans="58:58" ht="15" customHeight="1">
      <c r="BF643" s="105">
        <v>360</v>
      </c>
    </row>
    <row r="644" spans="58:58" ht="15" customHeight="1">
      <c r="BF644" s="105">
        <v>361</v>
      </c>
    </row>
    <row r="645" spans="58:58" ht="15" customHeight="1">
      <c r="BF645" s="105">
        <v>362</v>
      </c>
    </row>
    <row r="646" spans="58:58" ht="15" customHeight="1">
      <c r="BF646" s="105">
        <v>363</v>
      </c>
    </row>
    <row r="647" spans="58:58" ht="15" customHeight="1">
      <c r="BF647" s="105">
        <v>364</v>
      </c>
    </row>
    <row r="648" spans="58:58" ht="15" customHeight="1">
      <c r="BF648" s="105">
        <v>365</v>
      </c>
    </row>
    <row r="649" spans="58:58" ht="15" customHeight="1">
      <c r="BF649" s="105">
        <v>366</v>
      </c>
    </row>
    <row r="650" spans="58:58" ht="15" customHeight="1">
      <c r="BF650" s="105">
        <v>367</v>
      </c>
    </row>
    <row r="651" spans="58:58" ht="15" customHeight="1">
      <c r="BF651" s="105">
        <v>368</v>
      </c>
    </row>
    <row r="652" spans="58:58" ht="15" customHeight="1">
      <c r="BF652" s="105">
        <v>369</v>
      </c>
    </row>
    <row r="653" spans="58:58" ht="15" customHeight="1">
      <c r="BF653" s="105">
        <v>370</v>
      </c>
    </row>
    <row r="654" spans="58:58" ht="15" customHeight="1">
      <c r="BF654" s="105">
        <v>371</v>
      </c>
    </row>
    <row r="655" spans="58:58" ht="15" customHeight="1">
      <c r="BF655" s="105">
        <v>372</v>
      </c>
    </row>
    <row r="656" spans="58:58" ht="15" customHeight="1">
      <c r="BF656" s="105">
        <v>373</v>
      </c>
    </row>
    <row r="657" spans="58:58" ht="15" customHeight="1">
      <c r="BF657" s="105">
        <v>374</v>
      </c>
    </row>
    <row r="658" spans="58:58" ht="15" customHeight="1">
      <c r="BF658" s="105">
        <v>375</v>
      </c>
    </row>
    <row r="659" spans="58:58" ht="15" customHeight="1">
      <c r="BF659" s="105">
        <v>376</v>
      </c>
    </row>
    <row r="660" spans="58:58" ht="15" customHeight="1">
      <c r="BF660" s="105">
        <v>377</v>
      </c>
    </row>
    <row r="661" spans="58:58" ht="15" customHeight="1">
      <c r="BF661" s="105">
        <v>378</v>
      </c>
    </row>
    <row r="662" spans="58:58" ht="15" customHeight="1">
      <c r="BF662" s="105">
        <v>379</v>
      </c>
    </row>
    <row r="663" spans="58:58" ht="15" customHeight="1">
      <c r="BF663" s="105">
        <v>380</v>
      </c>
    </row>
    <row r="664" spans="58:58" ht="15" customHeight="1">
      <c r="BF664" s="105">
        <v>381</v>
      </c>
    </row>
    <row r="665" spans="58:58" ht="15" customHeight="1">
      <c r="BF665" s="105">
        <v>382</v>
      </c>
    </row>
    <row r="666" spans="58:58" ht="15" customHeight="1">
      <c r="BF666" s="105">
        <v>383</v>
      </c>
    </row>
    <row r="667" spans="58:58" ht="15" customHeight="1">
      <c r="BF667" s="105">
        <v>384</v>
      </c>
    </row>
    <row r="668" spans="58:58" ht="15" customHeight="1">
      <c r="BF668" s="105">
        <v>385</v>
      </c>
    </row>
    <row r="669" spans="58:58" ht="15" customHeight="1">
      <c r="BF669" s="105">
        <v>386</v>
      </c>
    </row>
    <row r="670" spans="58:58" ht="15" customHeight="1">
      <c r="BF670" s="105">
        <v>387</v>
      </c>
    </row>
    <row r="671" spans="58:58" ht="15" customHeight="1">
      <c r="BF671" s="105">
        <v>388</v>
      </c>
    </row>
    <row r="672" spans="58:58" ht="15" customHeight="1">
      <c r="BF672" s="105">
        <v>389</v>
      </c>
    </row>
    <row r="673" spans="58:58" ht="15" customHeight="1">
      <c r="BF673" s="105">
        <v>390</v>
      </c>
    </row>
    <row r="674" spans="58:58" ht="15" customHeight="1">
      <c r="BF674" s="105">
        <v>391</v>
      </c>
    </row>
    <row r="675" spans="58:58" ht="15" customHeight="1">
      <c r="BF675" s="105">
        <v>392</v>
      </c>
    </row>
    <row r="676" spans="58:58" ht="15" customHeight="1">
      <c r="BF676" s="105">
        <v>393</v>
      </c>
    </row>
    <row r="677" spans="58:58" ht="15" customHeight="1">
      <c r="BF677" s="105">
        <v>394</v>
      </c>
    </row>
    <row r="678" spans="58:58" ht="15" customHeight="1">
      <c r="BF678" s="105">
        <v>395</v>
      </c>
    </row>
    <row r="679" spans="58:58" ht="15" customHeight="1">
      <c r="BF679" s="105">
        <v>396</v>
      </c>
    </row>
    <row r="680" spans="58:58" ht="15" customHeight="1">
      <c r="BF680" s="105">
        <v>397</v>
      </c>
    </row>
    <row r="681" spans="58:58" ht="15" customHeight="1">
      <c r="BF681" s="105">
        <v>398</v>
      </c>
    </row>
    <row r="682" spans="58:58" ht="15" customHeight="1">
      <c r="BF682" s="105">
        <v>399</v>
      </c>
    </row>
    <row r="683" spans="58:58" ht="15" customHeight="1">
      <c r="BF683" s="105">
        <v>400</v>
      </c>
    </row>
    <row r="684" spans="58:58" ht="15" customHeight="1">
      <c r="BF684" s="105">
        <v>401</v>
      </c>
    </row>
    <row r="685" spans="58:58" ht="15" customHeight="1">
      <c r="BF685" s="105">
        <v>402</v>
      </c>
    </row>
    <row r="686" spans="58:58" ht="15" customHeight="1">
      <c r="BF686" s="105">
        <v>403</v>
      </c>
    </row>
    <row r="687" spans="58:58" ht="15" customHeight="1">
      <c r="BF687" s="105">
        <v>404</v>
      </c>
    </row>
    <row r="688" spans="58:58" ht="15" customHeight="1">
      <c r="BF688" s="105">
        <v>405</v>
      </c>
    </row>
    <row r="689" spans="58:58" ht="15" customHeight="1">
      <c r="BF689" s="105">
        <v>406</v>
      </c>
    </row>
    <row r="690" spans="58:58" ht="15" customHeight="1">
      <c r="BF690" s="105">
        <v>407</v>
      </c>
    </row>
    <row r="691" spans="58:58" ht="15" customHeight="1">
      <c r="BF691" s="105">
        <v>408</v>
      </c>
    </row>
    <row r="692" spans="58:58" ht="15" customHeight="1">
      <c r="BF692" s="105">
        <v>409</v>
      </c>
    </row>
    <row r="693" spans="58:58" ht="15" customHeight="1">
      <c r="BF693" s="105">
        <v>410</v>
      </c>
    </row>
    <row r="694" spans="58:58" ht="15" customHeight="1">
      <c r="BF694" s="105">
        <v>411</v>
      </c>
    </row>
    <row r="695" spans="58:58" ht="15" customHeight="1">
      <c r="BF695" s="105">
        <v>412</v>
      </c>
    </row>
    <row r="696" spans="58:58" ht="15" customHeight="1">
      <c r="BF696" s="105">
        <v>413</v>
      </c>
    </row>
    <row r="697" spans="58:58" ht="15" customHeight="1">
      <c r="BF697" s="105">
        <v>414</v>
      </c>
    </row>
    <row r="698" spans="58:58" ht="15" customHeight="1">
      <c r="BF698" s="105">
        <v>415</v>
      </c>
    </row>
    <row r="699" spans="58:58" ht="15" customHeight="1">
      <c r="BF699" s="105">
        <v>416</v>
      </c>
    </row>
    <row r="700" spans="58:58" ht="15" customHeight="1">
      <c r="BF700" s="105">
        <v>417</v>
      </c>
    </row>
    <row r="701" spans="58:58" ht="15" customHeight="1">
      <c r="BF701" s="105">
        <v>418</v>
      </c>
    </row>
    <row r="702" spans="58:58" ht="15" customHeight="1">
      <c r="BF702" s="105">
        <v>419</v>
      </c>
    </row>
    <row r="703" spans="58:58" ht="15" customHeight="1">
      <c r="BF703" s="105">
        <v>420</v>
      </c>
    </row>
    <row r="704" spans="58:58" ht="15" customHeight="1">
      <c r="BF704" s="105">
        <v>421</v>
      </c>
    </row>
    <row r="705" spans="58:58" ht="15" customHeight="1">
      <c r="BF705" s="105">
        <v>422</v>
      </c>
    </row>
    <row r="706" spans="58:58" ht="15" customHeight="1">
      <c r="BF706" s="105">
        <v>423</v>
      </c>
    </row>
    <row r="707" spans="58:58" ht="15" customHeight="1">
      <c r="BF707" s="105">
        <v>424</v>
      </c>
    </row>
    <row r="708" spans="58:58" ht="15" customHeight="1">
      <c r="BF708" s="105">
        <v>425</v>
      </c>
    </row>
    <row r="709" spans="58:58" ht="15" customHeight="1">
      <c r="BF709" s="105">
        <v>426</v>
      </c>
    </row>
    <row r="710" spans="58:58" ht="15" customHeight="1">
      <c r="BF710" s="105">
        <v>427</v>
      </c>
    </row>
    <row r="711" spans="58:58" ht="15" customHeight="1">
      <c r="BF711" s="105">
        <v>428</v>
      </c>
    </row>
    <row r="712" spans="58:58" ht="15" customHeight="1">
      <c r="BF712" s="105">
        <v>429</v>
      </c>
    </row>
    <row r="713" spans="58:58" ht="15" customHeight="1">
      <c r="BF713" s="105">
        <v>430</v>
      </c>
    </row>
    <row r="714" spans="58:58" ht="15" customHeight="1">
      <c r="BF714" s="105">
        <v>431</v>
      </c>
    </row>
    <row r="715" spans="58:58" ht="15" customHeight="1">
      <c r="BF715" s="105">
        <v>432</v>
      </c>
    </row>
    <row r="716" spans="58:58" ht="15" customHeight="1">
      <c r="BF716" s="105">
        <v>433</v>
      </c>
    </row>
    <row r="717" spans="58:58" ht="15" customHeight="1">
      <c r="BF717" s="105">
        <v>434</v>
      </c>
    </row>
    <row r="718" spans="58:58" ht="15" customHeight="1">
      <c r="BF718" s="105">
        <v>435</v>
      </c>
    </row>
    <row r="719" spans="58:58" ht="15" customHeight="1">
      <c r="BF719" s="105">
        <v>436</v>
      </c>
    </row>
    <row r="720" spans="58:58" ht="15" customHeight="1">
      <c r="BF720" s="105">
        <v>437</v>
      </c>
    </row>
    <row r="721" spans="58:58" ht="15" customHeight="1">
      <c r="BF721" s="105">
        <v>438</v>
      </c>
    </row>
    <row r="722" spans="58:58" ht="15" customHeight="1">
      <c r="BF722" s="105">
        <v>439</v>
      </c>
    </row>
    <row r="723" spans="58:58" ht="15" customHeight="1">
      <c r="BF723" s="105">
        <v>440</v>
      </c>
    </row>
    <row r="724" spans="58:58" ht="15" customHeight="1">
      <c r="BF724" s="105">
        <v>441</v>
      </c>
    </row>
    <row r="725" spans="58:58" ht="15" customHeight="1">
      <c r="BF725" s="105">
        <v>442</v>
      </c>
    </row>
    <row r="726" spans="58:58" ht="15" customHeight="1">
      <c r="BF726" s="105">
        <v>443</v>
      </c>
    </row>
    <row r="727" spans="58:58" ht="15" customHeight="1">
      <c r="BF727" s="105">
        <v>444</v>
      </c>
    </row>
    <row r="728" spans="58:58" ht="15" customHeight="1">
      <c r="BF728" s="105">
        <v>445</v>
      </c>
    </row>
    <row r="729" spans="58:58" ht="15" customHeight="1">
      <c r="BF729" s="105">
        <v>446</v>
      </c>
    </row>
    <row r="730" spans="58:58" ht="15" customHeight="1">
      <c r="BF730" s="105">
        <v>447</v>
      </c>
    </row>
    <row r="731" spans="58:58" ht="15" customHeight="1">
      <c r="BF731" s="105">
        <v>448</v>
      </c>
    </row>
    <row r="732" spans="58:58" ht="15" customHeight="1">
      <c r="BF732" s="105">
        <v>449</v>
      </c>
    </row>
    <row r="733" spans="58:58" ht="15" customHeight="1">
      <c r="BF733" s="105">
        <v>450</v>
      </c>
    </row>
    <row r="734" spans="58:58" ht="15" customHeight="1">
      <c r="BF734" s="105">
        <v>451</v>
      </c>
    </row>
    <row r="735" spans="58:58" ht="15" customHeight="1">
      <c r="BF735" s="105">
        <v>452</v>
      </c>
    </row>
    <row r="736" spans="58:58" ht="15" customHeight="1">
      <c r="BF736" s="105">
        <v>453</v>
      </c>
    </row>
    <row r="737" spans="58:58" ht="15" customHeight="1">
      <c r="BF737" s="105">
        <v>454</v>
      </c>
    </row>
    <row r="738" spans="58:58" ht="15" customHeight="1">
      <c r="BF738" s="105">
        <v>455</v>
      </c>
    </row>
    <row r="739" spans="58:58" ht="15" customHeight="1">
      <c r="BF739" s="105">
        <v>456</v>
      </c>
    </row>
    <row r="740" spans="58:58" ht="15" customHeight="1">
      <c r="BF740" s="105">
        <v>457</v>
      </c>
    </row>
    <row r="741" spans="58:58" ht="15" customHeight="1">
      <c r="BF741" s="105">
        <v>458</v>
      </c>
    </row>
    <row r="742" spans="58:58" ht="15" customHeight="1">
      <c r="BF742" s="105">
        <v>459</v>
      </c>
    </row>
    <row r="743" spans="58:58" ht="15" customHeight="1">
      <c r="BF743" s="105">
        <v>460</v>
      </c>
    </row>
    <row r="744" spans="58:58" ht="15" customHeight="1">
      <c r="BF744" s="105">
        <v>461</v>
      </c>
    </row>
    <row r="745" spans="58:58" ht="15" customHeight="1">
      <c r="BF745" s="105">
        <v>462</v>
      </c>
    </row>
    <row r="746" spans="58:58" ht="15" customHeight="1">
      <c r="BF746" s="105">
        <v>463</v>
      </c>
    </row>
    <row r="747" spans="58:58" ht="15" customHeight="1">
      <c r="BF747" s="105">
        <v>464</v>
      </c>
    </row>
    <row r="748" spans="58:58" ht="15" customHeight="1">
      <c r="BF748" s="105">
        <v>465</v>
      </c>
    </row>
    <row r="749" spans="58:58" ht="15" customHeight="1">
      <c r="BF749" s="105">
        <v>466</v>
      </c>
    </row>
    <row r="750" spans="58:58" ht="15" customHeight="1">
      <c r="BF750" s="105">
        <v>467</v>
      </c>
    </row>
    <row r="751" spans="58:58" ht="15" customHeight="1">
      <c r="BF751" s="105">
        <v>468</v>
      </c>
    </row>
    <row r="752" spans="58:58" ht="15" customHeight="1">
      <c r="BF752" s="105">
        <v>469</v>
      </c>
    </row>
    <row r="753" spans="58:58" ht="15" customHeight="1">
      <c r="BF753" s="105">
        <v>470</v>
      </c>
    </row>
    <row r="754" spans="58:58" ht="15" customHeight="1">
      <c r="BF754" s="105">
        <v>471</v>
      </c>
    </row>
    <row r="755" spans="58:58" ht="15" customHeight="1">
      <c r="BF755" s="105">
        <v>472</v>
      </c>
    </row>
    <row r="756" spans="58:58" ht="15" customHeight="1">
      <c r="BF756" s="105">
        <v>473</v>
      </c>
    </row>
    <row r="757" spans="58:58" ht="15" customHeight="1">
      <c r="BF757" s="105">
        <v>474</v>
      </c>
    </row>
    <row r="758" spans="58:58" ht="15" customHeight="1">
      <c r="BF758" s="105">
        <v>475</v>
      </c>
    </row>
    <row r="759" spans="58:58" ht="15" customHeight="1">
      <c r="BF759" s="105">
        <v>476</v>
      </c>
    </row>
    <row r="760" spans="58:58" ht="15" customHeight="1">
      <c r="BF760" s="105">
        <v>477</v>
      </c>
    </row>
    <row r="761" spans="58:58" ht="15" customHeight="1">
      <c r="BF761" s="105">
        <v>478</v>
      </c>
    </row>
    <row r="762" spans="58:58" ht="15" customHeight="1">
      <c r="BF762" s="105">
        <v>479</v>
      </c>
    </row>
    <row r="763" spans="58:58" ht="15" customHeight="1">
      <c r="BF763" s="105">
        <v>480</v>
      </c>
    </row>
    <row r="764" spans="58:58" ht="15" customHeight="1">
      <c r="BF764" s="105">
        <v>481</v>
      </c>
    </row>
    <row r="765" spans="58:58" ht="15" customHeight="1">
      <c r="BF765" s="105">
        <v>482</v>
      </c>
    </row>
    <row r="766" spans="58:58" ht="15" customHeight="1">
      <c r="BF766" s="105">
        <v>483</v>
      </c>
    </row>
    <row r="767" spans="58:58" ht="15" customHeight="1">
      <c r="BF767" s="105">
        <v>484</v>
      </c>
    </row>
    <row r="768" spans="58:58" ht="15" customHeight="1">
      <c r="BF768" s="105">
        <v>485</v>
      </c>
    </row>
    <row r="769" spans="58:58" ht="15" customHeight="1">
      <c r="BF769" s="105">
        <v>486</v>
      </c>
    </row>
    <row r="770" spans="58:58" ht="15" customHeight="1">
      <c r="BF770" s="105">
        <v>487</v>
      </c>
    </row>
    <row r="771" spans="58:58" ht="15" customHeight="1">
      <c r="BF771" s="105">
        <v>488</v>
      </c>
    </row>
    <row r="772" spans="58:58" ht="15" customHeight="1">
      <c r="BF772" s="105">
        <v>489</v>
      </c>
    </row>
    <row r="773" spans="58:58" ht="15" customHeight="1">
      <c r="BF773" s="105">
        <v>490</v>
      </c>
    </row>
    <row r="774" spans="58:58" ht="15" customHeight="1">
      <c r="BF774" s="105">
        <v>491</v>
      </c>
    </row>
    <row r="775" spans="58:58" ht="15" customHeight="1">
      <c r="BF775" s="105">
        <v>492</v>
      </c>
    </row>
    <row r="776" spans="58:58" ht="15" customHeight="1">
      <c r="BF776" s="105">
        <v>493</v>
      </c>
    </row>
    <row r="777" spans="58:58" ht="15" customHeight="1">
      <c r="BF777" s="105">
        <v>494</v>
      </c>
    </row>
    <row r="778" spans="58:58" ht="15" customHeight="1">
      <c r="BF778" s="105">
        <v>495</v>
      </c>
    </row>
    <row r="779" spans="58:58" ht="15" customHeight="1">
      <c r="BF779" s="105">
        <v>496</v>
      </c>
    </row>
    <row r="780" spans="58:58" ht="15" customHeight="1">
      <c r="BF780" s="105">
        <v>497</v>
      </c>
    </row>
    <row r="781" spans="58:58" ht="15" customHeight="1">
      <c r="BF781" s="105">
        <v>498</v>
      </c>
    </row>
    <row r="782" spans="58:58" ht="15" customHeight="1">
      <c r="BF782" s="105">
        <v>499</v>
      </c>
    </row>
    <row r="783" spans="58:58" ht="15" customHeight="1">
      <c r="BF783" s="105">
        <v>500</v>
      </c>
    </row>
    <row r="784" spans="58:58" ht="15" customHeight="1">
      <c r="BF784" s="105">
        <v>501</v>
      </c>
    </row>
    <row r="785" spans="58:58" ht="15" customHeight="1">
      <c r="BF785" s="105">
        <v>502</v>
      </c>
    </row>
    <row r="786" spans="58:58" ht="15" customHeight="1">
      <c r="BF786" s="105">
        <v>503</v>
      </c>
    </row>
    <row r="787" spans="58:58" ht="15" customHeight="1">
      <c r="BF787" s="105">
        <v>504</v>
      </c>
    </row>
    <row r="788" spans="58:58" ht="15" customHeight="1">
      <c r="BF788" s="105">
        <v>505</v>
      </c>
    </row>
    <row r="789" spans="58:58" ht="15" customHeight="1">
      <c r="BF789" s="105">
        <v>506</v>
      </c>
    </row>
    <row r="790" spans="58:58" ht="15" customHeight="1">
      <c r="BF790" s="105">
        <v>507</v>
      </c>
    </row>
    <row r="791" spans="58:58" ht="15" customHeight="1">
      <c r="BF791" s="105">
        <v>508</v>
      </c>
    </row>
    <row r="792" spans="58:58" ht="15" customHeight="1">
      <c r="BF792" s="105">
        <v>509</v>
      </c>
    </row>
    <row r="793" spans="58:58" ht="15" customHeight="1">
      <c r="BF793" s="105">
        <v>510</v>
      </c>
    </row>
    <row r="794" spans="58:58" ht="15" customHeight="1">
      <c r="BF794" s="105">
        <v>511</v>
      </c>
    </row>
    <row r="795" spans="58:58" ht="15" customHeight="1">
      <c r="BF795" s="105">
        <v>512</v>
      </c>
    </row>
    <row r="796" spans="58:58" ht="15" customHeight="1">
      <c r="BF796" s="105">
        <v>513</v>
      </c>
    </row>
    <row r="797" spans="58:58" ht="15" customHeight="1">
      <c r="BF797" s="105">
        <v>514</v>
      </c>
    </row>
    <row r="798" spans="58:58" ht="15" customHeight="1">
      <c r="BF798" s="105">
        <v>515</v>
      </c>
    </row>
    <row r="799" spans="58:58" ht="15" customHeight="1">
      <c r="BF799" s="105">
        <v>516</v>
      </c>
    </row>
    <row r="800" spans="58:58" ht="15" customHeight="1">
      <c r="BF800" s="105">
        <v>517</v>
      </c>
    </row>
    <row r="801" spans="58:58" ht="15" customHeight="1">
      <c r="BF801" s="105">
        <v>518</v>
      </c>
    </row>
    <row r="802" spans="58:58" ht="15" customHeight="1">
      <c r="BF802" s="105">
        <v>519</v>
      </c>
    </row>
    <row r="803" spans="58:58" ht="15" customHeight="1">
      <c r="BF803" s="105">
        <v>520</v>
      </c>
    </row>
    <row r="804" spans="58:58" ht="15" customHeight="1">
      <c r="BF804" s="105">
        <v>521</v>
      </c>
    </row>
    <row r="805" spans="58:58" ht="15" customHeight="1">
      <c r="BF805" s="105">
        <v>522</v>
      </c>
    </row>
    <row r="806" spans="58:58" ht="15" customHeight="1">
      <c r="BF806" s="105">
        <v>523</v>
      </c>
    </row>
    <row r="807" spans="58:58" ht="15" customHeight="1">
      <c r="BF807" s="105">
        <v>524</v>
      </c>
    </row>
    <row r="808" spans="58:58" ht="15" customHeight="1">
      <c r="BF808" s="105">
        <v>525</v>
      </c>
    </row>
    <row r="809" spans="58:58" ht="15" customHeight="1">
      <c r="BF809" s="105">
        <v>526</v>
      </c>
    </row>
    <row r="810" spans="58:58" ht="15" customHeight="1">
      <c r="BF810" s="105">
        <v>527</v>
      </c>
    </row>
    <row r="811" spans="58:58" ht="15" customHeight="1">
      <c r="BF811" s="105">
        <v>528</v>
      </c>
    </row>
    <row r="812" spans="58:58" ht="15" customHeight="1">
      <c r="BF812" s="105">
        <v>529</v>
      </c>
    </row>
    <row r="813" spans="58:58" ht="15" customHeight="1">
      <c r="BF813" s="105">
        <v>530</v>
      </c>
    </row>
    <row r="814" spans="58:58" ht="15" customHeight="1">
      <c r="BF814" s="105">
        <v>531</v>
      </c>
    </row>
    <row r="815" spans="58:58" ht="15" customHeight="1">
      <c r="BF815" s="105">
        <v>532</v>
      </c>
    </row>
    <row r="816" spans="58:58" ht="15" customHeight="1">
      <c r="BF816" s="105">
        <v>533</v>
      </c>
    </row>
    <row r="817" spans="58:58" ht="15" customHeight="1">
      <c r="BF817" s="105">
        <v>534</v>
      </c>
    </row>
    <row r="818" spans="58:58" ht="15" customHeight="1">
      <c r="BF818" s="105">
        <v>535</v>
      </c>
    </row>
    <row r="819" spans="58:58" ht="15" customHeight="1">
      <c r="BF819" s="105">
        <v>536</v>
      </c>
    </row>
    <row r="820" spans="58:58" ht="15" customHeight="1">
      <c r="BF820" s="105">
        <v>537</v>
      </c>
    </row>
    <row r="821" spans="58:58" ht="15" customHeight="1">
      <c r="BF821" s="105">
        <v>538</v>
      </c>
    </row>
    <row r="822" spans="58:58" ht="15" customHeight="1">
      <c r="BF822" s="105">
        <v>539</v>
      </c>
    </row>
    <row r="823" spans="58:58" ht="15" customHeight="1">
      <c r="BF823" s="105">
        <v>540</v>
      </c>
    </row>
    <row r="824" spans="58:58" ht="15" customHeight="1">
      <c r="BF824" s="105">
        <v>541</v>
      </c>
    </row>
    <row r="825" spans="58:58" ht="15" customHeight="1">
      <c r="BF825" s="105">
        <v>542</v>
      </c>
    </row>
    <row r="826" spans="58:58" ht="15" customHeight="1">
      <c r="BF826" s="105">
        <v>543</v>
      </c>
    </row>
    <row r="827" spans="58:58" ht="15" customHeight="1">
      <c r="BF827" s="105">
        <v>544</v>
      </c>
    </row>
    <row r="828" spans="58:58" ht="15" customHeight="1">
      <c r="BF828" s="105">
        <v>545</v>
      </c>
    </row>
    <row r="829" spans="58:58" ht="15" customHeight="1">
      <c r="BF829" s="105">
        <v>546</v>
      </c>
    </row>
    <row r="830" spans="58:58" ht="15" customHeight="1">
      <c r="BF830" s="105">
        <v>547</v>
      </c>
    </row>
    <row r="831" spans="58:58" ht="15" customHeight="1">
      <c r="BF831" s="105">
        <v>548</v>
      </c>
    </row>
    <row r="832" spans="58:58" ht="15" customHeight="1">
      <c r="BF832" s="105">
        <v>549</v>
      </c>
    </row>
    <row r="833" spans="58:58" ht="15" customHeight="1">
      <c r="BF833" s="105">
        <v>550</v>
      </c>
    </row>
    <row r="834" spans="58:58" ht="15" customHeight="1">
      <c r="BF834" s="105">
        <v>551</v>
      </c>
    </row>
    <row r="835" spans="58:58" ht="15" customHeight="1">
      <c r="BF835" s="105">
        <v>552</v>
      </c>
    </row>
    <row r="836" spans="58:58" ht="15" customHeight="1">
      <c r="BF836" s="105">
        <v>553</v>
      </c>
    </row>
    <row r="837" spans="58:58" ht="15" customHeight="1">
      <c r="BF837" s="105">
        <v>554</v>
      </c>
    </row>
    <row r="838" spans="58:58" ht="15" customHeight="1">
      <c r="BF838" s="105">
        <v>555</v>
      </c>
    </row>
    <row r="839" spans="58:58" ht="15" customHeight="1">
      <c r="BF839" s="105">
        <v>556</v>
      </c>
    </row>
    <row r="840" spans="58:58" ht="15" customHeight="1">
      <c r="BF840" s="105">
        <v>557</v>
      </c>
    </row>
    <row r="841" spans="58:58" ht="15" customHeight="1">
      <c r="BF841" s="105">
        <v>558</v>
      </c>
    </row>
    <row r="842" spans="58:58" ht="15" customHeight="1">
      <c r="BF842" s="105">
        <v>559</v>
      </c>
    </row>
    <row r="843" spans="58:58" ht="15" customHeight="1">
      <c r="BF843" s="105">
        <v>560</v>
      </c>
    </row>
    <row r="844" spans="58:58" ht="15" customHeight="1">
      <c r="BF844" s="105">
        <v>561</v>
      </c>
    </row>
    <row r="845" spans="58:58" ht="15" customHeight="1">
      <c r="BF845" s="105">
        <v>562</v>
      </c>
    </row>
    <row r="846" spans="58:58" ht="15" customHeight="1">
      <c r="BF846" s="105">
        <v>563</v>
      </c>
    </row>
    <row r="847" spans="58:58" ht="15" customHeight="1">
      <c r="BF847" s="105">
        <v>564</v>
      </c>
    </row>
    <row r="848" spans="58:58" ht="15" customHeight="1">
      <c r="BF848" s="105">
        <v>565</v>
      </c>
    </row>
    <row r="849" spans="58:58" ht="15" customHeight="1">
      <c r="BF849" s="105">
        <v>566</v>
      </c>
    </row>
    <row r="850" spans="58:58" ht="15" customHeight="1">
      <c r="BF850" s="105">
        <v>567</v>
      </c>
    </row>
    <row r="851" spans="58:58" ht="15" customHeight="1">
      <c r="BF851" s="105">
        <v>568</v>
      </c>
    </row>
    <row r="852" spans="58:58" ht="15" customHeight="1">
      <c r="BF852" s="105">
        <v>569</v>
      </c>
    </row>
    <row r="853" spans="58:58" ht="15" customHeight="1">
      <c r="BF853" s="105">
        <v>570</v>
      </c>
    </row>
    <row r="854" spans="58:58" ht="15" customHeight="1">
      <c r="BF854" s="105">
        <v>571</v>
      </c>
    </row>
    <row r="855" spans="58:58" ht="15" customHeight="1">
      <c r="BF855" s="105">
        <v>572</v>
      </c>
    </row>
    <row r="856" spans="58:58" ht="15" customHeight="1">
      <c r="BF856" s="105">
        <v>573</v>
      </c>
    </row>
    <row r="857" spans="58:58" ht="15" customHeight="1">
      <c r="BF857" s="105">
        <v>574</v>
      </c>
    </row>
    <row r="858" spans="58:58" ht="15" customHeight="1">
      <c r="BF858" s="105">
        <v>575</v>
      </c>
    </row>
    <row r="859" spans="58:58" ht="15" customHeight="1">
      <c r="BF859" s="105">
        <v>576</v>
      </c>
    </row>
    <row r="860" spans="58:58" ht="15" customHeight="1">
      <c r="BF860" s="105">
        <v>577</v>
      </c>
    </row>
    <row r="861" spans="58:58" ht="15" customHeight="1">
      <c r="BF861" s="105">
        <v>578</v>
      </c>
    </row>
    <row r="862" spans="58:58" ht="15" customHeight="1">
      <c r="BF862" s="105">
        <v>579</v>
      </c>
    </row>
    <row r="863" spans="58:58" ht="15" customHeight="1">
      <c r="BF863" s="105">
        <v>580</v>
      </c>
    </row>
    <row r="864" spans="58:58" ht="15" customHeight="1">
      <c r="BF864" s="105">
        <v>581</v>
      </c>
    </row>
    <row r="865" spans="58:58" ht="15" customHeight="1">
      <c r="BF865" s="105">
        <v>582</v>
      </c>
    </row>
    <row r="866" spans="58:58" ht="15" customHeight="1">
      <c r="BF866" s="105">
        <v>583</v>
      </c>
    </row>
    <row r="867" spans="58:58" ht="15" customHeight="1">
      <c r="BF867" s="105">
        <v>584</v>
      </c>
    </row>
    <row r="868" spans="58:58" ht="15" customHeight="1">
      <c r="BF868" s="105">
        <v>585</v>
      </c>
    </row>
    <row r="869" spans="58:58" ht="15" customHeight="1">
      <c r="BF869" s="105">
        <v>586</v>
      </c>
    </row>
    <row r="870" spans="58:58" ht="15" customHeight="1">
      <c r="BF870" s="105">
        <v>587</v>
      </c>
    </row>
    <row r="871" spans="58:58" ht="15" customHeight="1">
      <c r="BF871" s="105">
        <v>588</v>
      </c>
    </row>
    <row r="872" spans="58:58" ht="15" customHeight="1">
      <c r="BF872" s="105">
        <v>589</v>
      </c>
    </row>
    <row r="873" spans="58:58" ht="15" customHeight="1">
      <c r="BF873" s="105">
        <v>590</v>
      </c>
    </row>
    <row r="874" spans="58:58" ht="15" customHeight="1">
      <c r="BF874" s="105">
        <v>591</v>
      </c>
    </row>
    <row r="875" spans="58:58" ht="15" customHeight="1">
      <c r="BF875" s="105">
        <v>592</v>
      </c>
    </row>
    <row r="876" spans="58:58" ht="15" customHeight="1">
      <c r="BF876" s="105">
        <v>593</v>
      </c>
    </row>
    <row r="877" spans="58:58" ht="15" customHeight="1">
      <c r="BF877" s="105">
        <v>594</v>
      </c>
    </row>
    <row r="878" spans="58:58" ht="15" customHeight="1">
      <c r="BF878" s="105">
        <v>595</v>
      </c>
    </row>
    <row r="879" spans="58:58" ht="15" customHeight="1">
      <c r="BF879" s="105">
        <v>596</v>
      </c>
    </row>
    <row r="880" spans="58:58" ht="15" customHeight="1">
      <c r="BF880" s="105">
        <v>597</v>
      </c>
    </row>
    <row r="881" spans="58:58" ht="15" customHeight="1">
      <c r="BF881" s="105">
        <v>598</v>
      </c>
    </row>
    <row r="882" spans="58:58" ht="15" customHeight="1">
      <c r="BF882" s="105">
        <v>599</v>
      </c>
    </row>
    <row r="883" spans="58:58" ht="15" customHeight="1">
      <c r="BF883" s="105">
        <v>600</v>
      </c>
    </row>
    <row r="884" spans="58:58" ht="15" customHeight="1">
      <c r="BF884" s="105">
        <v>601</v>
      </c>
    </row>
    <row r="885" spans="58:58" ht="15" customHeight="1">
      <c r="BF885" s="105">
        <v>602</v>
      </c>
    </row>
    <row r="886" spans="58:58" ht="15" customHeight="1">
      <c r="BF886" s="105">
        <v>603</v>
      </c>
    </row>
    <row r="887" spans="58:58" ht="15" customHeight="1">
      <c r="BF887" s="105">
        <v>604</v>
      </c>
    </row>
    <row r="888" spans="58:58" ht="15" customHeight="1">
      <c r="BF888" s="105">
        <v>605</v>
      </c>
    </row>
    <row r="889" spans="58:58" ht="15" customHeight="1">
      <c r="BF889" s="105">
        <v>606</v>
      </c>
    </row>
    <row r="890" spans="58:58" ht="15" customHeight="1">
      <c r="BF890" s="105">
        <v>607</v>
      </c>
    </row>
    <row r="891" spans="58:58" ht="15" customHeight="1">
      <c r="BF891" s="105">
        <v>608</v>
      </c>
    </row>
    <row r="892" spans="58:58" ht="15" customHeight="1">
      <c r="BF892" s="105">
        <v>609</v>
      </c>
    </row>
    <row r="893" spans="58:58" ht="15" customHeight="1">
      <c r="BF893" s="105">
        <v>610</v>
      </c>
    </row>
    <row r="894" spans="58:58" ht="15" customHeight="1">
      <c r="BF894" s="105">
        <v>611</v>
      </c>
    </row>
    <row r="895" spans="58:58" ht="15" customHeight="1">
      <c r="BF895" s="105">
        <v>612</v>
      </c>
    </row>
    <row r="896" spans="58:58" ht="15" customHeight="1">
      <c r="BF896" s="105">
        <v>613</v>
      </c>
    </row>
    <row r="897" spans="58:58" ht="15" customHeight="1">
      <c r="BF897" s="105">
        <v>614</v>
      </c>
    </row>
    <row r="898" spans="58:58" ht="15" customHeight="1">
      <c r="BF898" s="105">
        <v>615</v>
      </c>
    </row>
    <row r="899" spans="58:58" ht="15" customHeight="1">
      <c r="BF899" s="105">
        <v>616</v>
      </c>
    </row>
    <row r="900" spans="58:58" ht="15" customHeight="1">
      <c r="BF900" s="105">
        <v>617</v>
      </c>
    </row>
    <row r="901" spans="58:58" ht="15" customHeight="1">
      <c r="BF901" s="105">
        <v>618</v>
      </c>
    </row>
    <row r="902" spans="58:58" ht="15" customHeight="1">
      <c r="BF902" s="105">
        <v>619</v>
      </c>
    </row>
    <row r="903" spans="58:58" ht="15" customHeight="1">
      <c r="BF903" s="105">
        <v>620</v>
      </c>
    </row>
    <row r="904" spans="58:58" ht="15" customHeight="1">
      <c r="BF904" s="105">
        <v>621</v>
      </c>
    </row>
    <row r="905" spans="58:58" ht="15" customHeight="1">
      <c r="BF905" s="105">
        <v>622</v>
      </c>
    </row>
    <row r="906" spans="58:58" ht="15" customHeight="1">
      <c r="BF906" s="105">
        <v>623</v>
      </c>
    </row>
    <row r="907" spans="58:58" ht="15" customHeight="1">
      <c r="BF907" s="105">
        <v>624</v>
      </c>
    </row>
    <row r="908" spans="58:58" ht="15" customHeight="1">
      <c r="BF908" s="105">
        <v>625</v>
      </c>
    </row>
    <row r="909" spans="58:58" ht="15" customHeight="1">
      <c r="BF909" s="105">
        <v>626</v>
      </c>
    </row>
    <row r="910" spans="58:58" ht="15" customHeight="1">
      <c r="BF910" s="105">
        <v>627</v>
      </c>
    </row>
    <row r="911" spans="58:58" ht="15" customHeight="1">
      <c r="BF911" s="105">
        <v>628</v>
      </c>
    </row>
    <row r="912" spans="58:58" ht="15" customHeight="1">
      <c r="BF912" s="105">
        <v>629</v>
      </c>
    </row>
    <row r="913" spans="58:58" ht="15" customHeight="1">
      <c r="BF913" s="105">
        <v>630</v>
      </c>
    </row>
    <row r="914" spans="58:58" ht="15" customHeight="1">
      <c r="BF914" s="105">
        <v>631</v>
      </c>
    </row>
    <row r="915" spans="58:58" ht="15" customHeight="1">
      <c r="BF915" s="105">
        <v>632</v>
      </c>
    </row>
    <row r="916" spans="58:58" ht="15" customHeight="1">
      <c r="BF916" s="105">
        <v>633</v>
      </c>
    </row>
    <row r="917" spans="58:58" ht="15" customHeight="1">
      <c r="BF917" s="105">
        <v>634</v>
      </c>
    </row>
    <row r="918" spans="58:58" ht="15" customHeight="1">
      <c r="BF918" s="105">
        <v>635</v>
      </c>
    </row>
    <row r="919" spans="58:58" ht="15" customHeight="1">
      <c r="BF919" s="105">
        <v>636</v>
      </c>
    </row>
    <row r="920" spans="58:58" ht="15" customHeight="1">
      <c r="BF920" s="105">
        <v>637</v>
      </c>
    </row>
    <row r="921" spans="58:58" ht="15" customHeight="1">
      <c r="BF921" s="105">
        <v>638</v>
      </c>
    </row>
    <row r="922" spans="58:58" ht="15" customHeight="1">
      <c r="BF922" s="105">
        <v>639</v>
      </c>
    </row>
    <row r="923" spans="58:58" ht="15" customHeight="1">
      <c r="BF923" s="105">
        <v>640</v>
      </c>
    </row>
    <row r="924" spans="58:58" ht="15" customHeight="1">
      <c r="BF924" s="105">
        <v>641</v>
      </c>
    </row>
    <row r="925" spans="58:58" ht="15" customHeight="1">
      <c r="BF925" s="105">
        <v>642</v>
      </c>
    </row>
    <row r="926" spans="58:58" ht="15" customHeight="1">
      <c r="BF926" s="105">
        <v>643</v>
      </c>
    </row>
    <row r="927" spans="58:58" ht="15" customHeight="1">
      <c r="BF927" s="105">
        <v>644</v>
      </c>
    </row>
    <row r="928" spans="58:58" ht="15" customHeight="1">
      <c r="BF928" s="105">
        <v>645</v>
      </c>
    </row>
    <row r="929" spans="58:58" ht="15" customHeight="1">
      <c r="BF929" s="105">
        <v>646</v>
      </c>
    </row>
    <row r="930" spans="58:58" ht="15" customHeight="1">
      <c r="BF930" s="105">
        <v>647</v>
      </c>
    </row>
    <row r="931" spans="58:58" ht="15" customHeight="1">
      <c r="BF931" s="105">
        <v>648</v>
      </c>
    </row>
    <row r="932" spans="58:58" ht="15" customHeight="1">
      <c r="BF932" s="105">
        <v>649</v>
      </c>
    </row>
    <row r="933" spans="58:58" ht="15" customHeight="1">
      <c r="BF933" s="105">
        <v>650</v>
      </c>
    </row>
    <row r="934" spans="58:58" ht="15" customHeight="1">
      <c r="BF934" s="105">
        <v>651</v>
      </c>
    </row>
    <row r="935" spans="58:58" ht="15" customHeight="1">
      <c r="BF935" s="105">
        <v>652</v>
      </c>
    </row>
    <row r="936" spans="58:58" ht="15" customHeight="1">
      <c r="BF936" s="105">
        <v>653</v>
      </c>
    </row>
    <row r="937" spans="58:58" ht="15" customHeight="1">
      <c r="BF937" s="105">
        <v>654</v>
      </c>
    </row>
    <row r="938" spans="58:58" ht="15" customHeight="1">
      <c r="BF938" s="105">
        <v>655</v>
      </c>
    </row>
    <row r="939" spans="58:58" ht="15" customHeight="1">
      <c r="BF939" s="105">
        <v>656</v>
      </c>
    </row>
    <row r="940" spans="58:58" ht="15" customHeight="1">
      <c r="BF940" s="105">
        <v>657</v>
      </c>
    </row>
    <row r="941" spans="58:58" ht="15" customHeight="1">
      <c r="BF941" s="105">
        <v>658</v>
      </c>
    </row>
    <row r="942" spans="58:58" ht="15" customHeight="1">
      <c r="BF942" s="105">
        <v>659</v>
      </c>
    </row>
    <row r="943" spans="58:58" ht="15" customHeight="1">
      <c r="BF943" s="105">
        <v>660</v>
      </c>
    </row>
    <row r="944" spans="58:58" ht="15" customHeight="1">
      <c r="BF944" s="105">
        <v>661</v>
      </c>
    </row>
    <row r="945" spans="58:58" ht="15" customHeight="1">
      <c r="BF945" s="105">
        <v>662</v>
      </c>
    </row>
    <row r="946" spans="58:58" ht="15" customHeight="1">
      <c r="BF946" s="105">
        <v>663</v>
      </c>
    </row>
    <row r="947" spans="58:58" ht="15" customHeight="1">
      <c r="BF947" s="105">
        <v>664</v>
      </c>
    </row>
    <row r="948" spans="58:58" ht="15" customHeight="1">
      <c r="BF948" s="105">
        <v>665</v>
      </c>
    </row>
    <row r="949" spans="58:58" ht="15" customHeight="1">
      <c r="BF949" s="105">
        <v>666</v>
      </c>
    </row>
    <row r="950" spans="58:58" ht="15" customHeight="1">
      <c r="BF950" s="105">
        <v>667</v>
      </c>
    </row>
    <row r="951" spans="58:58" ht="15" customHeight="1">
      <c r="BF951" s="105">
        <v>668</v>
      </c>
    </row>
    <row r="952" spans="58:58" ht="15" customHeight="1">
      <c r="BF952" s="105">
        <v>669</v>
      </c>
    </row>
    <row r="953" spans="58:58" ht="15" customHeight="1">
      <c r="BF953" s="105">
        <v>670</v>
      </c>
    </row>
    <row r="954" spans="58:58" ht="15" customHeight="1">
      <c r="BF954" s="105">
        <v>671</v>
      </c>
    </row>
    <row r="955" spans="58:58" ht="15" customHeight="1">
      <c r="BF955" s="105">
        <v>672</v>
      </c>
    </row>
    <row r="956" spans="58:58" ht="15" customHeight="1">
      <c r="BF956" s="105">
        <v>673</v>
      </c>
    </row>
    <row r="957" spans="58:58" ht="15" customHeight="1">
      <c r="BF957" s="105">
        <v>674</v>
      </c>
    </row>
    <row r="958" spans="58:58" ht="15" customHeight="1">
      <c r="BF958" s="105">
        <v>675</v>
      </c>
    </row>
    <row r="959" spans="58:58" ht="15" customHeight="1">
      <c r="BF959" s="105">
        <v>676</v>
      </c>
    </row>
    <row r="960" spans="58:58" ht="15" customHeight="1">
      <c r="BF960" s="105">
        <v>677</v>
      </c>
    </row>
    <row r="961" spans="58:58" ht="15" customHeight="1">
      <c r="BF961" s="105">
        <v>678</v>
      </c>
    </row>
    <row r="962" spans="58:58" ht="15" customHeight="1">
      <c r="BF962" s="105">
        <v>679</v>
      </c>
    </row>
    <row r="963" spans="58:58" ht="15" customHeight="1">
      <c r="BF963" s="105">
        <v>680</v>
      </c>
    </row>
    <row r="964" spans="58:58" ht="15" customHeight="1">
      <c r="BF964" s="105">
        <v>681</v>
      </c>
    </row>
    <row r="965" spans="58:58" ht="15" customHeight="1">
      <c r="BF965" s="105">
        <v>682</v>
      </c>
    </row>
    <row r="966" spans="58:58" ht="15" customHeight="1">
      <c r="BF966" s="105">
        <v>683</v>
      </c>
    </row>
    <row r="967" spans="58:58" ht="15" customHeight="1">
      <c r="BF967" s="105">
        <v>684</v>
      </c>
    </row>
    <row r="968" spans="58:58" ht="15" customHeight="1">
      <c r="BF968" s="105">
        <v>685</v>
      </c>
    </row>
    <row r="969" spans="58:58" ht="15" customHeight="1">
      <c r="BF969" s="105">
        <v>686</v>
      </c>
    </row>
    <row r="970" spans="58:58" ht="15" customHeight="1">
      <c r="BF970" s="105">
        <v>687</v>
      </c>
    </row>
    <row r="971" spans="58:58" ht="15" customHeight="1">
      <c r="BF971" s="105">
        <v>688</v>
      </c>
    </row>
    <row r="972" spans="58:58" ht="15" customHeight="1">
      <c r="BF972" s="105">
        <v>689</v>
      </c>
    </row>
    <row r="973" spans="58:58" ht="15" customHeight="1">
      <c r="BF973" s="105">
        <v>690</v>
      </c>
    </row>
    <row r="974" spans="58:58" ht="15" customHeight="1">
      <c r="BF974" s="105">
        <v>691</v>
      </c>
    </row>
    <row r="975" spans="58:58" ht="15" customHeight="1">
      <c r="BF975" s="105">
        <v>692</v>
      </c>
    </row>
    <row r="976" spans="58:58" ht="15" customHeight="1">
      <c r="BF976" s="105">
        <v>693</v>
      </c>
    </row>
    <row r="977" spans="58:58" ht="15" customHeight="1">
      <c r="BF977" s="105">
        <v>694</v>
      </c>
    </row>
    <row r="978" spans="58:58" ht="15" customHeight="1">
      <c r="BF978" s="105">
        <v>695</v>
      </c>
    </row>
    <row r="979" spans="58:58" ht="15" customHeight="1">
      <c r="BF979" s="105">
        <v>696</v>
      </c>
    </row>
    <row r="980" spans="58:58" ht="15" customHeight="1">
      <c r="BF980" s="105">
        <v>697</v>
      </c>
    </row>
    <row r="981" spans="58:58" ht="15" customHeight="1">
      <c r="BF981" s="105">
        <v>698</v>
      </c>
    </row>
    <row r="982" spans="58:58" ht="15" customHeight="1">
      <c r="BF982" s="105">
        <v>699</v>
      </c>
    </row>
    <row r="983" spans="58:58" ht="15" customHeight="1">
      <c r="BF983" s="105">
        <v>700</v>
      </c>
    </row>
    <row r="984" spans="58:58" ht="15" customHeight="1">
      <c r="BF984" s="105">
        <v>701</v>
      </c>
    </row>
    <row r="985" spans="58:58" ht="15" customHeight="1">
      <c r="BF985" s="105">
        <v>702</v>
      </c>
    </row>
    <row r="986" spans="58:58" ht="15" customHeight="1">
      <c r="BF986" s="105">
        <v>703</v>
      </c>
    </row>
    <row r="987" spans="58:58" ht="15" customHeight="1">
      <c r="BF987" s="105">
        <v>704</v>
      </c>
    </row>
    <row r="988" spans="58:58" ht="15" customHeight="1">
      <c r="BF988" s="105">
        <v>705</v>
      </c>
    </row>
    <row r="989" spans="58:58" ht="15" customHeight="1">
      <c r="BF989" s="105">
        <v>706</v>
      </c>
    </row>
    <row r="990" spans="58:58" ht="15" customHeight="1">
      <c r="BF990" s="105">
        <v>707</v>
      </c>
    </row>
    <row r="991" spans="58:58" ht="15" customHeight="1">
      <c r="BF991" s="105">
        <v>708</v>
      </c>
    </row>
    <row r="992" spans="58:58" ht="15" customHeight="1">
      <c r="BF992" s="105">
        <v>709</v>
      </c>
    </row>
    <row r="993" spans="58:58" ht="15" customHeight="1">
      <c r="BF993" s="105">
        <v>710</v>
      </c>
    </row>
    <row r="994" spans="58:58" ht="15" customHeight="1">
      <c r="BF994" s="105">
        <v>711</v>
      </c>
    </row>
    <row r="995" spans="58:58" ht="15" customHeight="1">
      <c r="BF995" s="105">
        <v>712</v>
      </c>
    </row>
    <row r="996" spans="58:58" ht="15" customHeight="1">
      <c r="BF996" s="105">
        <v>713</v>
      </c>
    </row>
    <row r="997" spans="58:58" ht="15" customHeight="1">
      <c r="BF997" s="105">
        <v>714</v>
      </c>
    </row>
    <row r="998" spans="58:58" ht="15" customHeight="1">
      <c r="BF998" s="105">
        <v>715</v>
      </c>
    </row>
    <row r="999" spans="58:58" ht="15" customHeight="1">
      <c r="BF999" s="105">
        <v>716</v>
      </c>
    </row>
    <row r="1000" spans="58:58" ht="15" customHeight="1">
      <c r="BF1000" s="105">
        <v>717</v>
      </c>
    </row>
    <row r="1001" spans="58:58" ht="15" customHeight="1">
      <c r="BF1001" s="105">
        <v>718</v>
      </c>
    </row>
    <row r="1002" spans="58:58" ht="15" customHeight="1">
      <c r="BF1002" s="105">
        <v>719</v>
      </c>
    </row>
    <row r="1003" spans="58:58" ht="15" customHeight="1">
      <c r="BF1003" s="105">
        <v>720</v>
      </c>
    </row>
    <row r="1004" spans="58:58" ht="15" customHeight="1">
      <c r="BF1004" s="105">
        <v>721</v>
      </c>
    </row>
    <row r="1005" spans="58:58" ht="15" customHeight="1">
      <c r="BF1005" s="105">
        <v>722</v>
      </c>
    </row>
    <row r="1006" spans="58:58" ht="15" customHeight="1">
      <c r="BF1006" s="105">
        <v>723</v>
      </c>
    </row>
    <row r="1007" spans="58:58" ht="15" customHeight="1">
      <c r="BF1007" s="105">
        <v>724</v>
      </c>
    </row>
    <row r="1008" spans="58:58" ht="15" customHeight="1">
      <c r="BF1008" s="105">
        <v>725</v>
      </c>
    </row>
    <row r="1009" spans="58:58" ht="15" customHeight="1">
      <c r="BF1009" s="105">
        <v>726</v>
      </c>
    </row>
    <row r="1010" spans="58:58" ht="15" customHeight="1">
      <c r="BF1010" s="105">
        <v>727</v>
      </c>
    </row>
    <row r="1011" spans="58:58" ht="15" customHeight="1">
      <c r="BF1011" s="105">
        <v>728</v>
      </c>
    </row>
    <row r="1012" spans="58:58" ht="15" customHeight="1">
      <c r="BF1012" s="105">
        <v>729</v>
      </c>
    </row>
    <row r="1013" spans="58:58" ht="15" customHeight="1">
      <c r="BF1013" s="105">
        <v>730</v>
      </c>
    </row>
    <row r="1014" spans="58:58" ht="15" customHeight="1">
      <c r="BF1014" s="105">
        <v>731</v>
      </c>
    </row>
    <row r="1015" spans="58:58" ht="15" customHeight="1">
      <c r="BF1015" s="105">
        <v>732</v>
      </c>
    </row>
    <row r="1016" spans="58:58" ht="15" customHeight="1">
      <c r="BF1016" s="105">
        <v>733</v>
      </c>
    </row>
    <row r="1017" spans="58:58" ht="15" customHeight="1">
      <c r="BF1017" s="105">
        <v>734</v>
      </c>
    </row>
    <row r="1018" spans="58:58" ht="15" customHeight="1">
      <c r="BF1018" s="105">
        <v>735</v>
      </c>
    </row>
    <row r="1019" spans="58:58" ht="15" customHeight="1">
      <c r="BF1019" s="105">
        <v>736</v>
      </c>
    </row>
    <row r="1020" spans="58:58" ht="15" customHeight="1">
      <c r="BF1020" s="105">
        <v>737</v>
      </c>
    </row>
    <row r="1021" spans="58:58" ht="15" customHeight="1">
      <c r="BF1021" s="105">
        <v>738</v>
      </c>
    </row>
    <row r="1022" spans="58:58" ht="15" customHeight="1">
      <c r="BF1022" s="105">
        <v>739</v>
      </c>
    </row>
    <row r="1023" spans="58:58" ht="15" customHeight="1">
      <c r="BF1023" s="105">
        <v>740</v>
      </c>
    </row>
    <row r="1024" spans="58:58" ht="15" customHeight="1">
      <c r="BF1024" s="105">
        <v>741</v>
      </c>
    </row>
    <row r="1025" spans="58:58" ht="15" customHeight="1">
      <c r="BF1025" s="105">
        <v>742</v>
      </c>
    </row>
    <row r="1026" spans="58:58" ht="15" customHeight="1">
      <c r="BF1026" s="105">
        <v>743</v>
      </c>
    </row>
    <row r="1027" spans="58:58" ht="15" customHeight="1">
      <c r="BF1027" s="105">
        <v>744</v>
      </c>
    </row>
    <row r="1028" spans="58:58" ht="15" customHeight="1">
      <c r="BF1028" s="105">
        <v>745</v>
      </c>
    </row>
    <row r="1029" spans="58:58" ht="15" customHeight="1">
      <c r="BF1029" s="105">
        <v>746</v>
      </c>
    </row>
    <row r="1030" spans="58:58" ht="15" customHeight="1">
      <c r="BF1030" s="105">
        <v>747</v>
      </c>
    </row>
    <row r="1031" spans="58:58" ht="15" customHeight="1">
      <c r="BF1031" s="105">
        <v>748</v>
      </c>
    </row>
    <row r="1032" spans="58:58" ht="15" customHeight="1">
      <c r="BF1032" s="105">
        <v>749</v>
      </c>
    </row>
    <row r="1033" spans="58:58" ht="15" customHeight="1">
      <c r="BF1033" s="105">
        <v>750</v>
      </c>
    </row>
    <row r="1034" spans="58:58" ht="15" customHeight="1">
      <c r="BF1034" s="105">
        <v>751</v>
      </c>
    </row>
    <row r="1035" spans="58:58" ht="15" customHeight="1">
      <c r="BF1035" s="105">
        <v>752</v>
      </c>
    </row>
    <row r="1036" spans="58:58" ht="15" customHeight="1">
      <c r="BF1036" s="105">
        <v>753</v>
      </c>
    </row>
    <row r="1037" spans="58:58" ht="15" customHeight="1">
      <c r="BF1037" s="105">
        <v>754</v>
      </c>
    </row>
    <row r="1038" spans="58:58" ht="15" customHeight="1">
      <c r="BF1038" s="105">
        <v>755</v>
      </c>
    </row>
    <row r="1039" spans="58:58" ht="15" customHeight="1">
      <c r="BF1039" s="105">
        <v>756</v>
      </c>
    </row>
    <row r="1040" spans="58:58" ht="15" customHeight="1">
      <c r="BF1040" s="105">
        <v>757</v>
      </c>
    </row>
    <row r="1041" spans="58:58" ht="15" customHeight="1">
      <c r="BF1041" s="105">
        <v>758</v>
      </c>
    </row>
    <row r="1042" spans="58:58" ht="15" customHeight="1">
      <c r="BF1042" s="105">
        <v>759</v>
      </c>
    </row>
    <row r="1043" spans="58:58" ht="15" customHeight="1">
      <c r="BF1043" s="105">
        <v>760</v>
      </c>
    </row>
    <row r="1044" spans="58:58" ht="15" customHeight="1">
      <c r="BF1044" s="105">
        <v>761</v>
      </c>
    </row>
    <row r="1045" spans="58:58" ht="15" customHeight="1">
      <c r="BF1045" s="105">
        <v>762</v>
      </c>
    </row>
    <row r="1046" spans="58:58" ht="15" customHeight="1">
      <c r="BF1046" s="105">
        <v>763</v>
      </c>
    </row>
    <row r="1047" spans="58:58" ht="15" customHeight="1">
      <c r="BF1047" s="105">
        <v>764</v>
      </c>
    </row>
    <row r="1048" spans="58:58" ht="15" customHeight="1">
      <c r="BF1048" s="105">
        <v>765</v>
      </c>
    </row>
    <row r="1049" spans="58:58" ht="15" customHeight="1">
      <c r="BF1049" s="105">
        <v>766</v>
      </c>
    </row>
    <row r="1050" spans="58:58" ht="15" customHeight="1">
      <c r="BF1050" s="105">
        <v>767</v>
      </c>
    </row>
    <row r="1051" spans="58:58" ht="15" customHeight="1">
      <c r="BF1051" s="105">
        <v>768</v>
      </c>
    </row>
    <row r="1052" spans="58:58" ht="15" customHeight="1">
      <c r="BF1052" s="105">
        <v>769</v>
      </c>
    </row>
    <row r="1053" spans="58:58" ht="15" customHeight="1">
      <c r="BF1053" s="105">
        <v>770</v>
      </c>
    </row>
    <row r="1054" spans="58:58" ht="15" customHeight="1">
      <c r="BF1054" s="105">
        <v>771</v>
      </c>
    </row>
    <row r="1055" spans="58:58" ht="15" customHeight="1">
      <c r="BF1055" s="105">
        <v>772</v>
      </c>
    </row>
    <row r="1056" spans="58:58" ht="15" customHeight="1">
      <c r="BF1056" s="105">
        <v>773</v>
      </c>
    </row>
    <row r="1057" spans="58:58" ht="15" customHeight="1">
      <c r="BF1057" s="105">
        <v>774</v>
      </c>
    </row>
    <row r="1058" spans="58:58" ht="15" customHeight="1">
      <c r="BF1058" s="105">
        <v>775</v>
      </c>
    </row>
    <row r="1059" spans="58:58" ht="15" customHeight="1">
      <c r="BF1059" s="105">
        <v>776</v>
      </c>
    </row>
    <row r="1060" spans="58:58" ht="15" customHeight="1">
      <c r="BF1060" s="105">
        <v>777</v>
      </c>
    </row>
    <row r="1061" spans="58:58" ht="15" customHeight="1">
      <c r="BF1061" s="105">
        <v>778</v>
      </c>
    </row>
    <row r="1062" spans="58:58" ht="15" customHeight="1">
      <c r="BF1062" s="105">
        <v>779</v>
      </c>
    </row>
    <row r="1063" spans="58:58" ht="15" customHeight="1">
      <c r="BF1063" s="105">
        <v>780</v>
      </c>
    </row>
    <row r="1064" spans="58:58" ht="15" customHeight="1">
      <c r="BF1064" s="105">
        <v>781</v>
      </c>
    </row>
    <row r="1065" spans="58:58" ht="15" customHeight="1">
      <c r="BF1065" s="105">
        <v>782</v>
      </c>
    </row>
    <row r="1066" spans="58:58" ht="15" customHeight="1">
      <c r="BF1066" s="105">
        <v>783</v>
      </c>
    </row>
    <row r="1067" spans="58:58" ht="15" customHeight="1">
      <c r="BF1067" s="105">
        <v>784</v>
      </c>
    </row>
    <row r="1068" spans="58:58" ht="15" customHeight="1">
      <c r="BF1068" s="105">
        <v>785</v>
      </c>
    </row>
    <row r="1069" spans="58:58" ht="15" customHeight="1">
      <c r="BF1069" s="105">
        <v>786</v>
      </c>
    </row>
    <row r="1070" spans="58:58" ht="15" customHeight="1">
      <c r="BF1070" s="105">
        <v>787</v>
      </c>
    </row>
    <row r="1071" spans="58:58" ht="15" customHeight="1">
      <c r="BF1071" s="105">
        <v>788</v>
      </c>
    </row>
    <row r="1072" spans="58:58" ht="15" customHeight="1">
      <c r="BF1072" s="105">
        <v>789</v>
      </c>
    </row>
    <row r="1073" spans="58:58" ht="15" customHeight="1">
      <c r="BF1073" s="105">
        <v>790</v>
      </c>
    </row>
    <row r="1074" spans="58:58" ht="15" customHeight="1">
      <c r="BF1074" s="105">
        <v>791</v>
      </c>
    </row>
    <row r="1075" spans="58:58" ht="15" customHeight="1">
      <c r="BF1075" s="105">
        <v>792</v>
      </c>
    </row>
    <row r="1076" spans="58:58" ht="15" customHeight="1">
      <c r="BF1076" s="105">
        <v>793</v>
      </c>
    </row>
    <row r="1077" spans="58:58" ht="15" customHeight="1">
      <c r="BF1077" s="105">
        <v>794</v>
      </c>
    </row>
    <row r="1078" spans="58:58" ht="15" customHeight="1">
      <c r="BF1078" s="105">
        <v>795</v>
      </c>
    </row>
    <row r="1079" spans="58:58" ht="15" customHeight="1">
      <c r="BF1079" s="105">
        <v>796</v>
      </c>
    </row>
    <row r="1080" spans="58:58" ht="15" customHeight="1">
      <c r="BF1080" s="105">
        <v>797</v>
      </c>
    </row>
    <row r="1081" spans="58:58" ht="15" customHeight="1">
      <c r="BF1081" s="105">
        <v>798</v>
      </c>
    </row>
    <row r="1082" spans="58:58" ht="15" customHeight="1">
      <c r="BF1082" s="105">
        <v>799</v>
      </c>
    </row>
    <row r="1083" spans="58:58" ht="15" customHeight="1">
      <c r="BF1083" s="105">
        <v>800</v>
      </c>
    </row>
    <row r="1084" spans="58:58" ht="15" customHeight="1">
      <c r="BF1084" s="105">
        <v>801</v>
      </c>
    </row>
    <row r="1085" spans="58:58" ht="15" customHeight="1">
      <c r="BF1085" s="105">
        <v>802</v>
      </c>
    </row>
    <row r="1086" spans="58:58" ht="15" customHeight="1">
      <c r="BF1086" s="105">
        <v>803</v>
      </c>
    </row>
    <row r="1087" spans="58:58" ht="15" customHeight="1">
      <c r="BF1087" s="105">
        <v>804</v>
      </c>
    </row>
    <row r="1088" spans="58:58" ht="15" customHeight="1">
      <c r="BF1088" s="105">
        <v>805</v>
      </c>
    </row>
    <row r="1089" spans="58:58" ht="15" customHeight="1">
      <c r="BF1089" s="105">
        <v>806</v>
      </c>
    </row>
    <row r="1090" spans="58:58" ht="15" customHeight="1">
      <c r="BF1090" s="105">
        <v>807</v>
      </c>
    </row>
    <row r="1091" spans="58:58" ht="15" customHeight="1">
      <c r="BF1091" s="105">
        <v>808</v>
      </c>
    </row>
    <row r="1092" spans="58:58" ht="15" customHeight="1">
      <c r="BF1092" s="105">
        <v>809</v>
      </c>
    </row>
    <row r="1093" spans="58:58" ht="15" customHeight="1">
      <c r="BF1093" s="105">
        <v>810</v>
      </c>
    </row>
    <row r="1094" spans="58:58" ht="15" customHeight="1">
      <c r="BF1094" s="105">
        <v>811</v>
      </c>
    </row>
    <row r="1095" spans="58:58" ht="15" customHeight="1">
      <c r="BF1095" s="105">
        <v>812</v>
      </c>
    </row>
    <row r="1096" spans="58:58" ht="15" customHeight="1">
      <c r="BF1096" s="105">
        <v>813</v>
      </c>
    </row>
    <row r="1097" spans="58:58" ht="15" customHeight="1">
      <c r="BF1097" s="105">
        <v>814</v>
      </c>
    </row>
    <row r="1098" spans="58:58" ht="15" customHeight="1">
      <c r="BF1098" s="105">
        <v>815</v>
      </c>
    </row>
    <row r="1099" spans="58:58" ht="15" customHeight="1">
      <c r="BF1099" s="105">
        <v>816</v>
      </c>
    </row>
    <row r="1100" spans="58:58" ht="15" customHeight="1">
      <c r="BF1100" s="105">
        <v>817</v>
      </c>
    </row>
    <row r="1101" spans="58:58" ht="15" customHeight="1">
      <c r="BF1101" s="105">
        <v>818</v>
      </c>
    </row>
    <row r="1102" spans="58:58" ht="15" customHeight="1">
      <c r="BF1102" s="105">
        <v>819</v>
      </c>
    </row>
    <row r="1103" spans="58:58" ht="15" customHeight="1">
      <c r="BF1103" s="105">
        <v>820</v>
      </c>
    </row>
    <row r="1104" spans="58:58" ht="15" customHeight="1">
      <c r="BF1104" s="105">
        <v>821</v>
      </c>
    </row>
    <row r="1105" spans="58:58" ht="15" customHeight="1">
      <c r="BF1105" s="105">
        <v>822</v>
      </c>
    </row>
    <row r="1106" spans="58:58" ht="15" customHeight="1">
      <c r="BF1106" s="105">
        <v>823</v>
      </c>
    </row>
    <row r="1107" spans="58:58" ht="15" customHeight="1">
      <c r="BF1107" s="105">
        <v>824</v>
      </c>
    </row>
    <row r="1108" spans="58:58" ht="15" customHeight="1">
      <c r="BF1108" s="105">
        <v>825</v>
      </c>
    </row>
    <row r="1109" spans="58:58" ht="15" customHeight="1">
      <c r="BF1109" s="105">
        <v>826</v>
      </c>
    </row>
    <row r="1110" spans="58:58" ht="15" customHeight="1">
      <c r="BF1110" s="105">
        <v>827</v>
      </c>
    </row>
    <row r="1111" spans="58:58" ht="15" customHeight="1">
      <c r="BF1111" s="105">
        <v>828</v>
      </c>
    </row>
    <row r="1112" spans="58:58" ht="15" customHeight="1">
      <c r="BF1112" s="105">
        <v>829</v>
      </c>
    </row>
    <row r="1113" spans="58:58" ht="15" customHeight="1">
      <c r="BF1113" s="105">
        <v>830</v>
      </c>
    </row>
    <row r="1114" spans="58:58" ht="15" customHeight="1">
      <c r="BF1114" s="105">
        <v>831</v>
      </c>
    </row>
    <row r="1115" spans="58:58" ht="15" customHeight="1">
      <c r="BF1115" s="105">
        <v>832</v>
      </c>
    </row>
    <row r="1116" spans="58:58" ht="15" customHeight="1">
      <c r="BF1116" s="105">
        <v>833</v>
      </c>
    </row>
    <row r="1117" spans="58:58" ht="15" customHeight="1">
      <c r="BF1117" s="105">
        <v>834</v>
      </c>
    </row>
    <row r="1118" spans="58:58" ht="15" customHeight="1">
      <c r="BF1118" s="105">
        <v>835</v>
      </c>
    </row>
    <row r="1119" spans="58:58" ht="15" customHeight="1">
      <c r="BF1119" s="105">
        <v>836</v>
      </c>
    </row>
    <row r="1120" spans="58:58" ht="15" customHeight="1">
      <c r="BF1120" s="105">
        <v>837</v>
      </c>
    </row>
    <row r="1121" spans="58:58" ht="15" customHeight="1">
      <c r="BF1121" s="105">
        <v>838</v>
      </c>
    </row>
    <row r="1122" spans="58:58" ht="15" customHeight="1">
      <c r="BF1122" s="105">
        <v>839</v>
      </c>
    </row>
    <row r="1123" spans="58:58" ht="15" customHeight="1">
      <c r="BF1123" s="105">
        <v>840</v>
      </c>
    </row>
    <row r="1124" spans="58:58" ht="15" customHeight="1">
      <c r="BF1124" s="105">
        <v>841</v>
      </c>
    </row>
    <row r="1125" spans="58:58" ht="15" customHeight="1">
      <c r="BF1125" s="105">
        <v>842</v>
      </c>
    </row>
    <row r="1126" spans="58:58" ht="15" customHeight="1">
      <c r="BF1126" s="105">
        <v>843</v>
      </c>
    </row>
    <row r="1127" spans="58:58" ht="15" customHeight="1">
      <c r="BF1127" s="105">
        <v>844</v>
      </c>
    </row>
    <row r="1128" spans="58:58" ht="15" customHeight="1">
      <c r="BF1128" s="105">
        <v>845</v>
      </c>
    </row>
    <row r="1129" spans="58:58" ht="15" customHeight="1">
      <c r="BF1129" s="105">
        <v>846</v>
      </c>
    </row>
    <row r="1130" spans="58:58" ht="15" customHeight="1">
      <c r="BF1130" s="105">
        <v>847</v>
      </c>
    </row>
    <row r="1131" spans="58:58" ht="15" customHeight="1">
      <c r="BF1131" s="105">
        <v>848</v>
      </c>
    </row>
    <row r="1132" spans="58:58" ht="15" customHeight="1">
      <c r="BF1132" s="105">
        <v>849</v>
      </c>
    </row>
    <row r="1133" spans="58:58" ht="15" customHeight="1">
      <c r="BF1133" s="105">
        <v>850</v>
      </c>
    </row>
    <row r="1134" spans="58:58" ht="15" customHeight="1">
      <c r="BF1134" s="105">
        <v>851</v>
      </c>
    </row>
    <row r="1135" spans="58:58" ht="15" customHeight="1">
      <c r="BF1135" s="105">
        <v>852</v>
      </c>
    </row>
    <row r="1136" spans="58:58" ht="15" customHeight="1">
      <c r="BF1136" s="105">
        <v>853</v>
      </c>
    </row>
    <row r="1137" spans="58:58" ht="15" customHeight="1">
      <c r="BF1137" s="105">
        <v>854</v>
      </c>
    </row>
    <row r="1138" spans="58:58" ht="15" customHeight="1">
      <c r="BF1138" s="105">
        <v>855</v>
      </c>
    </row>
    <row r="1139" spans="58:58" ht="15" customHeight="1">
      <c r="BF1139" s="105">
        <v>856</v>
      </c>
    </row>
    <row r="1140" spans="58:58" ht="15" customHeight="1">
      <c r="BF1140" s="105">
        <v>857</v>
      </c>
    </row>
    <row r="1141" spans="58:58" ht="15" customHeight="1">
      <c r="BF1141" s="105">
        <v>858</v>
      </c>
    </row>
    <row r="1142" spans="58:58" ht="15" customHeight="1">
      <c r="BF1142" s="105">
        <v>859</v>
      </c>
    </row>
    <row r="1143" spans="58:58" ht="15" customHeight="1">
      <c r="BF1143" s="105">
        <v>860</v>
      </c>
    </row>
    <row r="1144" spans="58:58" ht="15" customHeight="1">
      <c r="BF1144" s="105">
        <v>861</v>
      </c>
    </row>
    <row r="1145" spans="58:58" ht="15" customHeight="1">
      <c r="BF1145" s="105">
        <v>862</v>
      </c>
    </row>
    <row r="1146" spans="58:58" ht="15" customHeight="1">
      <c r="BF1146" s="105">
        <v>863</v>
      </c>
    </row>
    <row r="1147" spans="58:58" ht="15" customHeight="1">
      <c r="BF1147" s="105">
        <v>864</v>
      </c>
    </row>
    <row r="1148" spans="58:58" ht="15" customHeight="1">
      <c r="BF1148" s="105">
        <v>865</v>
      </c>
    </row>
    <row r="1149" spans="58:58" ht="15" customHeight="1">
      <c r="BF1149" s="105">
        <v>866</v>
      </c>
    </row>
    <row r="1150" spans="58:58" ht="15" customHeight="1">
      <c r="BF1150" s="105">
        <v>867</v>
      </c>
    </row>
    <row r="1151" spans="58:58" ht="15" customHeight="1">
      <c r="BF1151" s="105">
        <v>868</v>
      </c>
    </row>
    <row r="1152" spans="58:58" ht="15" customHeight="1">
      <c r="BF1152" s="105">
        <v>869</v>
      </c>
    </row>
    <row r="1153" spans="58:58" ht="15" customHeight="1">
      <c r="BF1153" s="105">
        <v>870</v>
      </c>
    </row>
    <row r="1154" spans="58:58" ht="15" customHeight="1">
      <c r="BF1154" s="105">
        <v>871</v>
      </c>
    </row>
    <row r="1155" spans="58:58" ht="15" customHeight="1">
      <c r="BF1155" s="105">
        <v>872</v>
      </c>
    </row>
    <row r="1156" spans="58:58" ht="15" customHeight="1">
      <c r="BF1156" s="105">
        <v>873</v>
      </c>
    </row>
    <row r="1157" spans="58:58" ht="15" customHeight="1">
      <c r="BF1157" s="105">
        <v>874</v>
      </c>
    </row>
    <row r="1158" spans="58:58" ht="15" customHeight="1">
      <c r="BF1158" s="105">
        <v>875</v>
      </c>
    </row>
    <row r="1159" spans="58:58" ht="15" customHeight="1">
      <c r="BF1159" s="105">
        <v>876</v>
      </c>
    </row>
    <row r="1160" spans="58:58" ht="15" customHeight="1">
      <c r="BF1160" s="105">
        <v>877</v>
      </c>
    </row>
    <row r="1161" spans="58:58" ht="15" customHeight="1">
      <c r="BF1161" s="105">
        <v>878</v>
      </c>
    </row>
    <row r="1162" spans="58:58" ht="15" customHeight="1">
      <c r="BF1162" s="105">
        <v>879</v>
      </c>
    </row>
    <row r="1163" spans="58:58" ht="15" customHeight="1">
      <c r="BF1163" s="105">
        <v>880</v>
      </c>
    </row>
    <row r="1164" spans="58:58" ht="15" customHeight="1">
      <c r="BF1164" s="105">
        <v>881</v>
      </c>
    </row>
    <row r="1165" spans="58:58" ht="15" customHeight="1">
      <c r="BF1165" s="105">
        <v>882</v>
      </c>
    </row>
    <row r="1166" spans="58:58" ht="15" customHeight="1">
      <c r="BF1166" s="105">
        <v>883</v>
      </c>
    </row>
    <row r="1167" spans="58:58" ht="15" customHeight="1">
      <c r="BF1167" s="105">
        <v>884</v>
      </c>
    </row>
    <row r="1168" spans="58:58" ht="15" customHeight="1">
      <c r="BF1168" s="105">
        <v>885</v>
      </c>
    </row>
    <row r="1169" spans="58:58" ht="15" customHeight="1">
      <c r="BF1169" s="105">
        <v>886</v>
      </c>
    </row>
    <row r="1170" spans="58:58" ht="15" customHeight="1">
      <c r="BF1170" s="105">
        <v>887</v>
      </c>
    </row>
    <row r="1171" spans="58:58" ht="15" customHeight="1">
      <c r="BF1171" s="105">
        <v>888</v>
      </c>
    </row>
    <row r="1172" spans="58:58" ht="15" customHeight="1">
      <c r="BF1172" s="105">
        <v>889</v>
      </c>
    </row>
    <row r="1173" spans="58:58" ht="15" customHeight="1">
      <c r="BF1173" s="105">
        <v>890</v>
      </c>
    </row>
    <row r="1174" spans="58:58" ht="15" customHeight="1">
      <c r="BF1174" s="105">
        <v>891</v>
      </c>
    </row>
    <row r="1175" spans="58:58" ht="15" customHeight="1">
      <c r="BF1175" s="105">
        <v>892</v>
      </c>
    </row>
    <row r="1176" spans="58:58" ht="15" customHeight="1">
      <c r="BF1176" s="105">
        <v>893</v>
      </c>
    </row>
    <row r="1177" spans="58:58" ht="15" customHeight="1">
      <c r="BF1177" s="105">
        <v>894</v>
      </c>
    </row>
    <row r="1178" spans="58:58" ht="15" customHeight="1">
      <c r="BF1178" s="105">
        <v>895</v>
      </c>
    </row>
    <row r="1179" spans="58:58" ht="15" customHeight="1">
      <c r="BF1179" s="105">
        <v>896</v>
      </c>
    </row>
    <row r="1180" spans="58:58" ht="15" customHeight="1">
      <c r="BF1180" s="105">
        <v>897</v>
      </c>
    </row>
    <row r="1181" spans="58:58" ht="15" customHeight="1">
      <c r="BF1181" s="105">
        <v>898</v>
      </c>
    </row>
    <row r="1182" spans="58:58" ht="15" customHeight="1">
      <c r="BF1182" s="105">
        <v>899</v>
      </c>
    </row>
    <row r="1183" spans="58:58" ht="15" customHeight="1">
      <c r="BF1183" s="105">
        <v>900</v>
      </c>
    </row>
    <row r="1184" spans="58:58" ht="15" customHeight="1">
      <c r="BF1184" s="105">
        <v>901</v>
      </c>
    </row>
    <row r="1185" spans="58:58" ht="15" customHeight="1">
      <c r="BF1185" s="105">
        <v>902</v>
      </c>
    </row>
    <row r="1186" spans="58:58" ht="15" customHeight="1">
      <c r="BF1186" s="105">
        <v>903</v>
      </c>
    </row>
    <row r="1187" spans="58:58" ht="15" customHeight="1">
      <c r="BF1187" s="105">
        <v>904</v>
      </c>
    </row>
    <row r="1188" spans="58:58" ht="15" customHeight="1">
      <c r="BF1188" s="105">
        <v>905</v>
      </c>
    </row>
    <row r="1189" spans="58:58" ht="15" customHeight="1">
      <c r="BF1189" s="105">
        <v>906</v>
      </c>
    </row>
    <row r="1190" spans="58:58" ht="15" customHeight="1">
      <c r="BF1190" s="105">
        <v>907</v>
      </c>
    </row>
    <row r="1191" spans="58:58" ht="15" customHeight="1">
      <c r="BF1191" s="105">
        <v>908</v>
      </c>
    </row>
    <row r="1192" spans="58:58" ht="15" customHeight="1">
      <c r="BF1192" s="105">
        <v>909</v>
      </c>
    </row>
    <row r="1193" spans="58:58" ht="15" customHeight="1">
      <c r="BF1193" s="105">
        <v>910</v>
      </c>
    </row>
    <row r="1194" spans="58:58" ht="15" customHeight="1">
      <c r="BF1194" s="105">
        <v>911</v>
      </c>
    </row>
    <row r="1195" spans="58:58" ht="15" customHeight="1">
      <c r="BF1195" s="105">
        <v>912</v>
      </c>
    </row>
    <row r="1196" spans="58:58" ht="15" customHeight="1">
      <c r="BF1196" s="105">
        <v>913</v>
      </c>
    </row>
    <row r="1197" spans="58:58" ht="15" customHeight="1">
      <c r="BF1197" s="105">
        <v>914</v>
      </c>
    </row>
    <row r="1198" spans="58:58" ht="15" customHeight="1">
      <c r="BF1198" s="105">
        <v>915</v>
      </c>
    </row>
    <row r="1199" spans="58:58" ht="15" customHeight="1">
      <c r="BF1199" s="105">
        <v>916</v>
      </c>
    </row>
    <row r="1200" spans="58:58" ht="15" customHeight="1">
      <c r="BF1200" s="105">
        <v>917</v>
      </c>
    </row>
    <row r="1201" spans="58:58" ht="15" customHeight="1">
      <c r="BF1201" s="105">
        <v>918</v>
      </c>
    </row>
    <row r="1202" spans="58:58" ht="15" customHeight="1">
      <c r="BF1202" s="105">
        <v>919</v>
      </c>
    </row>
    <row r="1203" spans="58:58" ht="15" customHeight="1">
      <c r="BF1203" s="105">
        <v>920</v>
      </c>
    </row>
    <row r="1204" spans="58:58" ht="15" customHeight="1">
      <c r="BF1204" s="105">
        <v>921</v>
      </c>
    </row>
    <row r="1205" spans="58:58" ht="15" customHeight="1">
      <c r="BF1205" s="105">
        <v>922</v>
      </c>
    </row>
    <row r="1206" spans="58:58" ht="15" customHeight="1">
      <c r="BF1206" s="105">
        <v>923</v>
      </c>
    </row>
    <row r="1207" spans="58:58" ht="15" customHeight="1">
      <c r="BF1207" s="105">
        <v>924</v>
      </c>
    </row>
    <row r="1208" spans="58:58" ht="15" customHeight="1">
      <c r="BF1208" s="105">
        <v>925</v>
      </c>
    </row>
    <row r="1209" spans="58:58" ht="15" customHeight="1">
      <c r="BF1209" s="105">
        <v>926</v>
      </c>
    </row>
    <row r="1210" spans="58:58" ht="15" customHeight="1">
      <c r="BF1210" s="105">
        <v>927</v>
      </c>
    </row>
    <row r="1211" spans="58:58" ht="15" customHeight="1">
      <c r="BF1211" s="105">
        <v>928</v>
      </c>
    </row>
    <row r="1212" spans="58:58" ht="15" customHeight="1">
      <c r="BF1212" s="105">
        <v>929</v>
      </c>
    </row>
    <row r="1213" spans="58:58" ht="15" customHeight="1">
      <c r="BF1213" s="105">
        <v>930</v>
      </c>
    </row>
    <row r="1214" spans="58:58" ht="15" customHeight="1">
      <c r="BF1214" s="105">
        <v>931</v>
      </c>
    </row>
    <row r="1215" spans="58:58" ht="15" customHeight="1">
      <c r="BF1215" s="105">
        <v>932</v>
      </c>
    </row>
    <row r="1216" spans="58:58" ht="15" customHeight="1">
      <c r="BF1216" s="105">
        <v>933</v>
      </c>
    </row>
    <row r="1217" spans="58:58" ht="15" customHeight="1">
      <c r="BF1217" s="105">
        <v>934</v>
      </c>
    </row>
    <row r="1218" spans="58:58" ht="15" customHeight="1">
      <c r="BF1218" s="105">
        <v>935</v>
      </c>
    </row>
    <row r="1219" spans="58:58" ht="15" customHeight="1">
      <c r="BF1219" s="105">
        <v>936</v>
      </c>
    </row>
    <row r="1220" spans="58:58" ht="15" customHeight="1">
      <c r="BF1220" s="105">
        <v>937</v>
      </c>
    </row>
    <row r="1221" spans="58:58" ht="15" customHeight="1">
      <c r="BF1221" s="105">
        <v>938</v>
      </c>
    </row>
    <row r="1222" spans="58:58" ht="15" customHeight="1">
      <c r="BF1222" s="105">
        <v>939</v>
      </c>
    </row>
    <row r="1223" spans="58:58" ht="15" customHeight="1">
      <c r="BF1223" s="105">
        <v>940</v>
      </c>
    </row>
    <row r="1224" spans="58:58" ht="15" customHeight="1">
      <c r="BF1224" s="105">
        <v>941</v>
      </c>
    </row>
    <row r="1225" spans="58:58" ht="15" customHeight="1">
      <c r="BF1225" s="105">
        <v>942</v>
      </c>
    </row>
    <row r="1226" spans="58:58" ht="15" customHeight="1">
      <c r="BF1226" s="105">
        <v>943</v>
      </c>
    </row>
    <row r="1227" spans="58:58" ht="15" customHeight="1">
      <c r="BF1227" s="105">
        <v>944</v>
      </c>
    </row>
    <row r="1228" spans="58:58" ht="15" customHeight="1">
      <c r="BF1228" s="105">
        <v>945</v>
      </c>
    </row>
    <row r="1229" spans="58:58" ht="15" customHeight="1">
      <c r="BF1229" s="105">
        <v>946</v>
      </c>
    </row>
    <row r="1230" spans="58:58" ht="15" customHeight="1">
      <c r="BF1230" s="105">
        <v>947</v>
      </c>
    </row>
    <row r="1231" spans="58:58" ht="15" customHeight="1">
      <c r="BF1231" s="105">
        <v>948</v>
      </c>
    </row>
    <row r="1232" spans="58:58" ht="15" customHeight="1">
      <c r="BF1232" s="105">
        <v>949</v>
      </c>
    </row>
    <row r="1233" spans="58:58" ht="15" customHeight="1">
      <c r="BF1233" s="105">
        <v>950</v>
      </c>
    </row>
    <row r="1234" spans="58:58" ht="15" customHeight="1">
      <c r="BF1234" s="105">
        <v>951</v>
      </c>
    </row>
    <row r="1235" spans="58:58" ht="15" customHeight="1">
      <c r="BF1235" s="105">
        <v>952</v>
      </c>
    </row>
    <row r="1236" spans="58:58" ht="15" customHeight="1">
      <c r="BF1236" s="105">
        <v>953</v>
      </c>
    </row>
    <row r="1237" spans="58:58" ht="15" customHeight="1">
      <c r="BF1237" s="105">
        <v>954</v>
      </c>
    </row>
    <row r="1238" spans="58:58" ht="15" customHeight="1">
      <c r="BF1238" s="105">
        <v>955</v>
      </c>
    </row>
    <row r="1239" spans="58:58" ht="15" customHeight="1">
      <c r="BF1239" s="105">
        <v>956</v>
      </c>
    </row>
    <row r="1240" spans="58:58" ht="15" customHeight="1">
      <c r="BF1240" s="105">
        <v>957</v>
      </c>
    </row>
    <row r="1241" spans="58:58" ht="15" customHeight="1">
      <c r="BF1241" s="105">
        <v>958</v>
      </c>
    </row>
    <row r="1242" spans="58:58" ht="15" customHeight="1">
      <c r="BF1242" s="105">
        <v>959</v>
      </c>
    </row>
    <row r="1243" spans="58:58" ht="15" customHeight="1">
      <c r="BF1243" s="105">
        <v>960</v>
      </c>
    </row>
    <row r="1244" spans="58:58" ht="15" customHeight="1">
      <c r="BF1244" s="105">
        <v>961</v>
      </c>
    </row>
    <row r="1245" spans="58:58" ht="15" customHeight="1">
      <c r="BF1245" s="105">
        <v>962</v>
      </c>
    </row>
    <row r="1246" spans="58:58" ht="15" customHeight="1">
      <c r="BF1246" s="105">
        <v>963</v>
      </c>
    </row>
    <row r="1247" spans="58:58" ht="15" customHeight="1">
      <c r="BF1247" s="105">
        <v>964</v>
      </c>
    </row>
    <row r="1248" spans="58:58" ht="15" customHeight="1">
      <c r="BF1248" s="105">
        <v>965</v>
      </c>
    </row>
    <row r="1249" spans="58:58" ht="15" customHeight="1">
      <c r="BF1249" s="105">
        <v>966</v>
      </c>
    </row>
    <row r="1250" spans="58:58" ht="15" customHeight="1">
      <c r="BF1250" s="105">
        <v>967</v>
      </c>
    </row>
    <row r="1251" spans="58:58" ht="15" customHeight="1">
      <c r="BF1251" s="105">
        <v>968</v>
      </c>
    </row>
    <row r="1252" spans="58:58" ht="15" customHeight="1">
      <c r="BF1252" s="105">
        <v>969</v>
      </c>
    </row>
    <row r="1253" spans="58:58" ht="15" customHeight="1">
      <c r="BF1253" s="105">
        <v>970</v>
      </c>
    </row>
    <row r="1254" spans="58:58" ht="15" customHeight="1">
      <c r="BF1254" s="105">
        <v>971</v>
      </c>
    </row>
    <row r="1255" spans="58:58" ht="15" customHeight="1">
      <c r="BF1255" s="105">
        <v>972</v>
      </c>
    </row>
    <row r="1256" spans="58:58" ht="15" customHeight="1">
      <c r="BF1256" s="105">
        <v>973</v>
      </c>
    </row>
    <row r="1257" spans="58:58" ht="15" customHeight="1">
      <c r="BF1257" s="105">
        <v>974</v>
      </c>
    </row>
    <row r="1258" spans="58:58" ht="15" customHeight="1">
      <c r="BF1258" s="105">
        <v>975</v>
      </c>
    </row>
    <row r="1259" spans="58:58" ht="15" customHeight="1">
      <c r="BF1259" s="105">
        <v>976</v>
      </c>
    </row>
    <row r="1260" spans="58:58" ht="15" customHeight="1">
      <c r="BF1260" s="105">
        <v>977</v>
      </c>
    </row>
    <row r="1261" spans="58:58" ht="15" customHeight="1">
      <c r="BF1261" s="105">
        <v>978</v>
      </c>
    </row>
    <row r="1262" spans="58:58" ht="15" customHeight="1">
      <c r="BF1262" s="105">
        <v>979</v>
      </c>
    </row>
    <row r="1263" spans="58:58" ht="15" customHeight="1">
      <c r="BF1263" s="105">
        <v>980</v>
      </c>
    </row>
    <row r="1264" spans="58:58" ht="15" customHeight="1">
      <c r="BF1264" s="105">
        <v>981</v>
      </c>
    </row>
    <row r="1265" spans="58:58" ht="15" customHeight="1">
      <c r="BF1265" s="105">
        <v>982</v>
      </c>
    </row>
    <row r="1266" spans="58:58" ht="15" customHeight="1">
      <c r="BF1266" s="105">
        <v>983</v>
      </c>
    </row>
    <row r="1267" spans="58:58" ht="15" customHeight="1">
      <c r="BF1267" s="105">
        <v>984</v>
      </c>
    </row>
    <row r="1268" spans="58:58" ht="15" customHeight="1">
      <c r="BF1268" s="105">
        <v>985</v>
      </c>
    </row>
    <row r="1269" spans="58:58" ht="15" customHeight="1">
      <c r="BF1269" s="105">
        <v>986</v>
      </c>
    </row>
    <row r="1270" spans="58:58" ht="15" customHeight="1">
      <c r="BF1270" s="105">
        <v>987</v>
      </c>
    </row>
    <row r="1271" spans="58:58" ht="15" customHeight="1">
      <c r="BF1271" s="105">
        <v>988</v>
      </c>
    </row>
    <row r="1272" spans="58:58" ht="15" customHeight="1">
      <c r="BF1272" s="105">
        <v>989</v>
      </c>
    </row>
    <row r="1273" spans="58:58" ht="15" customHeight="1">
      <c r="BF1273" s="105">
        <v>990</v>
      </c>
    </row>
    <row r="1274" spans="58:58" ht="15" customHeight="1">
      <c r="BF1274" s="105">
        <v>991</v>
      </c>
    </row>
    <row r="1275" spans="58:58" ht="15" customHeight="1">
      <c r="BF1275" s="105">
        <v>992</v>
      </c>
    </row>
    <row r="1276" spans="58:58" ht="15" customHeight="1">
      <c r="BF1276" s="105">
        <v>993</v>
      </c>
    </row>
    <row r="1277" spans="58:58" ht="15" customHeight="1">
      <c r="BF1277" s="105">
        <v>994</v>
      </c>
    </row>
    <row r="1278" spans="58:58" ht="15" customHeight="1">
      <c r="BF1278" s="105">
        <v>995</v>
      </c>
    </row>
    <row r="1279" spans="58:58" ht="15" customHeight="1">
      <c r="BF1279" s="105">
        <v>996</v>
      </c>
    </row>
    <row r="1280" spans="58:58" ht="15" customHeight="1">
      <c r="BF1280" s="105">
        <v>997</v>
      </c>
    </row>
    <row r="1281" spans="58:58" ht="15" customHeight="1">
      <c r="BF1281" s="105">
        <v>998</v>
      </c>
    </row>
    <row r="1282" spans="58:58" ht="15" customHeight="1">
      <c r="BF1282" s="105">
        <v>999</v>
      </c>
    </row>
    <row r="1283" spans="58:58" ht="15" customHeight="1">
      <c r="BF1283" s="105">
        <v>1000</v>
      </c>
    </row>
    <row r="1284" spans="58:58" ht="15" customHeight="1">
      <c r="BF1284" s="105">
        <v>1001</v>
      </c>
    </row>
    <row r="1285" spans="58:58" ht="15" customHeight="1">
      <c r="BF1285" s="105">
        <v>1002</v>
      </c>
    </row>
    <row r="1286" spans="58:58" ht="15" customHeight="1">
      <c r="BF1286" s="105">
        <v>1003</v>
      </c>
    </row>
    <row r="1287" spans="58:58" ht="15" customHeight="1">
      <c r="BF1287" s="105">
        <v>1004</v>
      </c>
    </row>
    <row r="1288" spans="58:58" ht="15" customHeight="1">
      <c r="BF1288" s="105">
        <v>1005</v>
      </c>
    </row>
    <row r="1289" spans="58:58" ht="15" customHeight="1">
      <c r="BF1289" s="105">
        <v>1006</v>
      </c>
    </row>
    <row r="1290" spans="58:58" ht="15" customHeight="1">
      <c r="BF1290" s="105">
        <v>1007</v>
      </c>
    </row>
    <row r="1291" spans="58:58" ht="15" customHeight="1">
      <c r="BF1291" s="105">
        <v>1008</v>
      </c>
    </row>
    <row r="1292" spans="58:58" ht="15" customHeight="1">
      <c r="BF1292" s="105">
        <v>1009</v>
      </c>
    </row>
    <row r="1293" spans="58:58" ht="15" customHeight="1">
      <c r="BF1293" s="105">
        <v>1010</v>
      </c>
    </row>
    <row r="1294" spans="58:58" ht="15" customHeight="1">
      <c r="BF1294" s="105">
        <v>1011</v>
      </c>
    </row>
    <row r="1295" spans="58:58" ht="15" customHeight="1">
      <c r="BF1295" s="105">
        <v>1012</v>
      </c>
    </row>
    <row r="1296" spans="58:58" ht="15" customHeight="1">
      <c r="BF1296" s="105">
        <v>1013</v>
      </c>
    </row>
    <row r="1297" spans="58:58" ht="15" customHeight="1">
      <c r="BF1297" s="105">
        <v>1014</v>
      </c>
    </row>
    <row r="1298" spans="58:58" ht="15" customHeight="1">
      <c r="BF1298" s="105">
        <v>1015</v>
      </c>
    </row>
    <row r="1299" spans="58:58" ht="15" customHeight="1">
      <c r="BF1299" s="105">
        <v>1016</v>
      </c>
    </row>
    <row r="1300" spans="58:58" ht="15" customHeight="1">
      <c r="BF1300" s="105">
        <v>1017</v>
      </c>
    </row>
    <row r="1301" spans="58:58" ht="15" customHeight="1">
      <c r="BF1301" s="105">
        <v>1018</v>
      </c>
    </row>
    <row r="1302" spans="58:58" ht="15" customHeight="1">
      <c r="BF1302" s="105">
        <v>1019</v>
      </c>
    </row>
    <row r="1303" spans="58:58" ht="15" customHeight="1">
      <c r="BF1303" s="105">
        <v>1020</v>
      </c>
    </row>
    <row r="1304" spans="58:58" ht="15" customHeight="1">
      <c r="BF1304" s="105">
        <v>1021</v>
      </c>
    </row>
    <row r="1305" spans="58:58" ht="15" customHeight="1">
      <c r="BF1305" s="105">
        <v>1022</v>
      </c>
    </row>
    <row r="1306" spans="58:58" ht="15" customHeight="1">
      <c r="BF1306" s="105">
        <v>1023</v>
      </c>
    </row>
    <row r="1307" spans="58:58" ht="15" customHeight="1">
      <c r="BF1307" s="105">
        <v>1024</v>
      </c>
    </row>
    <row r="1308" spans="58:58" ht="15" customHeight="1">
      <c r="BF1308" s="105">
        <v>1025</v>
      </c>
    </row>
    <row r="1309" spans="58:58" ht="15" customHeight="1">
      <c r="BF1309" s="105">
        <v>1026</v>
      </c>
    </row>
    <row r="1310" spans="58:58" ht="15" customHeight="1">
      <c r="BF1310" s="105">
        <v>1027</v>
      </c>
    </row>
    <row r="1311" spans="58:58" ht="15" customHeight="1">
      <c r="BF1311" s="105">
        <v>1028</v>
      </c>
    </row>
    <row r="1312" spans="58:58" ht="15" customHeight="1">
      <c r="BF1312" s="105">
        <v>1029</v>
      </c>
    </row>
    <row r="1313" spans="58:58" ht="15" customHeight="1">
      <c r="BF1313" s="105">
        <v>1030</v>
      </c>
    </row>
    <row r="1314" spans="58:58" ht="15" customHeight="1">
      <c r="BF1314" s="105">
        <v>1031</v>
      </c>
    </row>
    <row r="1315" spans="58:58" ht="15" customHeight="1">
      <c r="BF1315" s="105">
        <v>1032</v>
      </c>
    </row>
    <row r="1316" spans="58:58" ht="15" customHeight="1">
      <c r="BF1316" s="105">
        <v>1033</v>
      </c>
    </row>
    <row r="1317" spans="58:58" ht="15" customHeight="1">
      <c r="BF1317" s="105">
        <v>1034</v>
      </c>
    </row>
    <row r="1318" spans="58:58" ht="15" customHeight="1">
      <c r="BF1318" s="105">
        <v>1035</v>
      </c>
    </row>
    <row r="1319" spans="58:58" ht="15" customHeight="1">
      <c r="BF1319" s="105">
        <v>1036</v>
      </c>
    </row>
    <row r="1320" spans="58:58" ht="15" customHeight="1">
      <c r="BF1320" s="105">
        <v>1037</v>
      </c>
    </row>
    <row r="1321" spans="58:58" ht="15" customHeight="1">
      <c r="BF1321" s="105">
        <v>1038</v>
      </c>
    </row>
    <row r="1322" spans="58:58" ht="15" customHeight="1">
      <c r="BF1322" s="105">
        <v>1039</v>
      </c>
    </row>
    <row r="1323" spans="58:58" ht="15" customHeight="1">
      <c r="BF1323" s="105">
        <v>1040</v>
      </c>
    </row>
    <row r="1324" spans="58:58" ht="15" customHeight="1">
      <c r="BF1324" s="105">
        <v>1041</v>
      </c>
    </row>
    <row r="1325" spans="58:58" ht="15" customHeight="1">
      <c r="BF1325" s="105">
        <v>1042</v>
      </c>
    </row>
    <row r="1326" spans="58:58" ht="15" customHeight="1">
      <c r="BF1326" s="105">
        <v>1043</v>
      </c>
    </row>
    <row r="1327" spans="58:58" ht="15" customHeight="1">
      <c r="BF1327" s="105">
        <v>1044</v>
      </c>
    </row>
    <row r="1328" spans="58:58" ht="15" customHeight="1">
      <c r="BF1328" s="105">
        <v>1045</v>
      </c>
    </row>
    <row r="1329" spans="58:58" ht="15" customHeight="1">
      <c r="BF1329" s="105">
        <v>1046</v>
      </c>
    </row>
    <row r="1330" spans="58:58" ht="15" customHeight="1">
      <c r="BF1330" s="105">
        <v>1047</v>
      </c>
    </row>
    <row r="1331" spans="58:58" ht="15" customHeight="1">
      <c r="BF1331" s="105">
        <v>1048</v>
      </c>
    </row>
    <row r="1332" spans="58:58" ht="15" customHeight="1">
      <c r="BF1332" s="105">
        <v>1049</v>
      </c>
    </row>
    <row r="1333" spans="58:58" ht="15" customHeight="1">
      <c r="BF1333" s="105">
        <v>1050</v>
      </c>
    </row>
    <row r="1334" spans="58:58" ht="15" customHeight="1">
      <c r="BF1334" s="105">
        <v>1051</v>
      </c>
    </row>
    <row r="1335" spans="58:58" ht="15" customHeight="1">
      <c r="BF1335" s="105">
        <v>1052</v>
      </c>
    </row>
    <row r="1336" spans="58:58" ht="15" customHeight="1">
      <c r="BF1336" s="105">
        <v>1053</v>
      </c>
    </row>
    <row r="1337" spans="58:58" ht="15" customHeight="1">
      <c r="BF1337" s="105">
        <v>1054</v>
      </c>
    </row>
    <row r="1338" spans="58:58" ht="15" customHeight="1">
      <c r="BF1338" s="105">
        <v>1055</v>
      </c>
    </row>
    <row r="1339" spans="58:58" ht="15" customHeight="1">
      <c r="BF1339" s="105">
        <v>1056</v>
      </c>
    </row>
    <row r="1340" spans="58:58" ht="15" customHeight="1">
      <c r="BF1340" s="105">
        <v>1057</v>
      </c>
    </row>
    <row r="1341" spans="58:58" ht="15" customHeight="1">
      <c r="BF1341" s="105">
        <v>1058</v>
      </c>
    </row>
    <row r="1342" spans="58:58" ht="15" customHeight="1">
      <c r="BF1342" s="105">
        <v>1059</v>
      </c>
    </row>
    <row r="1343" spans="58:58" ht="15" customHeight="1">
      <c r="BF1343" s="105">
        <v>1060</v>
      </c>
    </row>
    <row r="1344" spans="58:58" ht="15" customHeight="1">
      <c r="BF1344" s="105">
        <v>1061</v>
      </c>
    </row>
    <row r="1345" spans="58:58" ht="15" customHeight="1">
      <c r="BF1345" s="105">
        <v>1062</v>
      </c>
    </row>
    <row r="1346" spans="58:58" ht="15" customHeight="1">
      <c r="BF1346" s="105">
        <v>1063</v>
      </c>
    </row>
    <row r="1347" spans="58:58" ht="15" customHeight="1">
      <c r="BF1347" s="105">
        <v>1064</v>
      </c>
    </row>
    <row r="1348" spans="58:58" ht="15" customHeight="1">
      <c r="BF1348" s="105">
        <v>1065</v>
      </c>
    </row>
    <row r="1349" spans="58:58" ht="15" customHeight="1">
      <c r="BF1349" s="105">
        <v>1066</v>
      </c>
    </row>
    <row r="1350" spans="58:58" ht="15" customHeight="1">
      <c r="BF1350" s="105">
        <v>1067</v>
      </c>
    </row>
    <row r="1351" spans="58:58" ht="15" customHeight="1">
      <c r="BF1351" s="105">
        <v>1068</v>
      </c>
    </row>
    <row r="1352" spans="58:58" ht="15" customHeight="1">
      <c r="BF1352" s="105">
        <v>1069</v>
      </c>
    </row>
    <row r="1353" spans="58:58" ht="15" customHeight="1">
      <c r="BF1353" s="105">
        <v>1070</v>
      </c>
    </row>
    <row r="1354" spans="58:58" ht="15" customHeight="1">
      <c r="BF1354" s="105">
        <v>1071</v>
      </c>
    </row>
    <row r="1355" spans="58:58" ht="15" customHeight="1">
      <c r="BF1355" s="105">
        <v>1072</v>
      </c>
    </row>
    <row r="1356" spans="58:58" ht="15" customHeight="1">
      <c r="BF1356" s="105">
        <v>1073</v>
      </c>
    </row>
    <row r="1357" spans="58:58" ht="15" customHeight="1">
      <c r="BF1357" s="105">
        <v>1074</v>
      </c>
    </row>
    <row r="1358" spans="58:58" ht="15" customHeight="1">
      <c r="BF1358" s="105">
        <v>1075</v>
      </c>
    </row>
    <row r="1359" spans="58:58" ht="15" customHeight="1">
      <c r="BF1359" s="105">
        <v>1076</v>
      </c>
    </row>
    <row r="1360" spans="58:58" ht="15" customHeight="1">
      <c r="BF1360" s="105">
        <v>1077</v>
      </c>
    </row>
    <row r="1361" spans="58:58" ht="15" customHeight="1">
      <c r="BF1361" s="105">
        <v>1078</v>
      </c>
    </row>
    <row r="1362" spans="58:58" ht="15" customHeight="1">
      <c r="BF1362" s="105">
        <v>1079</v>
      </c>
    </row>
    <row r="1363" spans="58:58" ht="15" customHeight="1">
      <c r="BF1363" s="105">
        <v>1080</v>
      </c>
    </row>
    <row r="1364" spans="58:58" ht="15" customHeight="1">
      <c r="BF1364" s="105">
        <v>1081</v>
      </c>
    </row>
    <row r="1365" spans="58:58" ht="15" customHeight="1">
      <c r="BF1365" s="105">
        <v>1082</v>
      </c>
    </row>
    <row r="1366" spans="58:58" ht="15" customHeight="1">
      <c r="BF1366" s="105">
        <v>1083</v>
      </c>
    </row>
    <row r="1367" spans="58:58" ht="15" customHeight="1">
      <c r="BF1367" s="105">
        <v>1084</v>
      </c>
    </row>
    <row r="1368" spans="58:58" ht="15" customHeight="1">
      <c r="BF1368" s="105">
        <v>1085</v>
      </c>
    </row>
    <row r="1369" spans="58:58" ht="15" customHeight="1">
      <c r="BF1369" s="105">
        <v>1086</v>
      </c>
    </row>
    <row r="1370" spans="58:58" ht="15" customHeight="1">
      <c r="BF1370" s="105">
        <v>1087</v>
      </c>
    </row>
    <row r="1371" spans="58:58" ht="15" customHeight="1">
      <c r="BF1371" s="105">
        <v>1088</v>
      </c>
    </row>
    <row r="1372" spans="58:58" ht="15" customHeight="1">
      <c r="BF1372" s="105">
        <v>1089</v>
      </c>
    </row>
    <row r="1373" spans="58:58" ht="15" customHeight="1">
      <c r="BF1373" s="105">
        <v>1090</v>
      </c>
    </row>
    <row r="1374" spans="58:58" ht="15" customHeight="1">
      <c r="BF1374" s="105">
        <v>1091</v>
      </c>
    </row>
    <row r="1375" spans="58:58" ht="15" customHeight="1">
      <c r="BF1375" s="105">
        <v>1092</v>
      </c>
    </row>
    <row r="1376" spans="58:58" ht="15" customHeight="1">
      <c r="BF1376" s="105">
        <v>1093</v>
      </c>
    </row>
    <row r="1377" spans="58:58" ht="15" customHeight="1">
      <c r="BF1377" s="105">
        <v>1094</v>
      </c>
    </row>
    <row r="1378" spans="58:58" ht="15" customHeight="1">
      <c r="BF1378" s="105">
        <v>1095</v>
      </c>
    </row>
    <row r="1379" spans="58:58" ht="15" customHeight="1">
      <c r="BF1379" s="105">
        <v>1096</v>
      </c>
    </row>
    <row r="1380" spans="58:58" ht="15" customHeight="1">
      <c r="BF1380" s="105">
        <v>1097</v>
      </c>
    </row>
    <row r="1381" spans="58:58" ht="15" customHeight="1">
      <c r="BF1381" s="105">
        <v>1098</v>
      </c>
    </row>
    <row r="1382" spans="58:58" ht="15" customHeight="1">
      <c r="BF1382" s="105">
        <v>1099</v>
      </c>
    </row>
    <row r="1383" spans="58:58" ht="15" customHeight="1">
      <c r="BF1383" s="105">
        <v>1100</v>
      </c>
    </row>
    <row r="1384" spans="58:58" ht="15" customHeight="1">
      <c r="BF1384" s="105">
        <v>1101</v>
      </c>
    </row>
    <row r="1385" spans="58:58" ht="15" customHeight="1">
      <c r="BF1385" s="105">
        <v>1102</v>
      </c>
    </row>
    <row r="1386" spans="58:58" ht="15" customHeight="1">
      <c r="BF1386" s="105">
        <v>1103</v>
      </c>
    </row>
    <row r="1387" spans="58:58" ht="15" customHeight="1">
      <c r="BF1387" s="105">
        <v>1104</v>
      </c>
    </row>
    <row r="1388" spans="58:58" ht="15" customHeight="1">
      <c r="BF1388" s="105">
        <v>1105</v>
      </c>
    </row>
    <row r="1389" spans="58:58" ht="15" customHeight="1">
      <c r="BF1389" s="105">
        <v>1106</v>
      </c>
    </row>
    <row r="1390" spans="58:58" ht="15" customHeight="1">
      <c r="BF1390" s="105">
        <v>1107</v>
      </c>
    </row>
    <row r="1391" spans="58:58" ht="15" customHeight="1">
      <c r="BF1391" s="105">
        <v>1108</v>
      </c>
    </row>
    <row r="1392" spans="58:58" ht="15" customHeight="1">
      <c r="BF1392" s="105">
        <v>1109</v>
      </c>
    </row>
    <row r="1393" spans="58:58" ht="15" customHeight="1">
      <c r="BF1393" s="105">
        <v>1110</v>
      </c>
    </row>
    <row r="1394" spans="58:58" ht="15" customHeight="1">
      <c r="BF1394" s="105">
        <v>1111</v>
      </c>
    </row>
    <row r="1395" spans="58:58" ht="15" customHeight="1">
      <c r="BF1395" s="105">
        <v>1112</v>
      </c>
    </row>
    <row r="1396" spans="58:58" ht="15" customHeight="1">
      <c r="BF1396" s="105">
        <v>1113</v>
      </c>
    </row>
    <row r="1397" spans="58:58" ht="15" customHeight="1">
      <c r="BF1397" s="105">
        <v>1114</v>
      </c>
    </row>
    <row r="1398" spans="58:58" ht="15" customHeight="1">
      <c r="BF1398" s="105">
        <v>1115</v>
      </c>
    </row>
    <row r="1399" spans="58:58" ht="15" customHeight="1">
      <c r="BF1399" s="105">
        <v>1116</v>
      </c>
    </row>
    <row r="1400" spans="58:58" ht="15" customHeight="1">
      <c r="BF1400" s="105">
        <v>1117</v>
      </c>
    </row>
    <row r="1401" spans="58:58" ht="15" customHeight="1">
      <c r="BF1401" s="105">
        <v>1118</v>
      </c>
    </row>
    <row r="1402" spans="58:58" ht="15" customHeight="1">
      <c r="BF1402" s="105">
        <v>1119</v>
      </c>
    </row>
    <row r="1403" spans="58:58" ht="15" customHeight="1">
      <c r="BF1403" s="105">
        <v>1120</v>
      </c>
    </row>
    <row r="1404" spans="58:58" ht="15" customHeight="1">
      <c r="BF1404" s="105">
        <v>1121</v>
      </c>
    </row>
    <row r="1405" spans="58:58" ht="15" customHeight="1">
      <c r="BF1405" s="105">
        <v>1122</v>
      </c>
    </row>
    <row r="1406" spans="58:58" ht="15" customHeight="1">
      <c r="BF1406" s="105">
        <v>1123</v>
      </c>
    </row>
    <row r="1407" spans="58:58" ht="15" customHeight="1">
      <c r="BF1407" s="105">
        <v>1124</v>
      </c>
    </row>
    <row r="1408" spans="58:58" ht="15" customHeight="1">
      <c r="BF1408" s="105">
        <v>1125</v>
      </c>
    </row>
    <row r="1409" spans="58:58" ht="15" customHeight="1">
      <c r="BF1409" s="105">
        <v>1126</v>
      </c>
    </row>
    <row r="1410" spans="58:58" ht="15" customHeight="1">
      <c r="BF1410" s="105">
        <v>1127</v>
      </c>
    </row>
    <row r="1411" spans="58:58" ht="15" customHeight="1">
      <c r="BF1411" s="105">
        <v>1128</v>
      </c>
    </row>
    <row r="1412" spans="58:58" ht="15" customHeight="1">
      <c r="BF1412" s="105">
        <v>1129</v>
      </c>
    </row>
    <row r="1413" spans="58:58" ht="15" customHeight="1">
      <c r="BF1413" s="105">
        <v>1130</v>
      </c>
    </row>
    <row r="1414" spans="58:58" ht="15" customHeight="1">
      <c r="BF1414" s="105">
        <v>1131</v>
      </c>
    </row>
    <row r="1415" spans="58:58" ht="15" customHeight="1">
      <c r="BF1415" s="105">
        <v>1132</v>
      </c>
    </row>
    <row r="1416" spans="58:58" ht="15" customHeight="1">
      <c r="BF1416" s="105">
        <v>1133</v>
      </c>
    </row>
    <row r="1417" spans="58:58" ht="15" customHeight="1">
      <c r="BF1417" s="105">
        <v>1134</v>
      </c>
    </row>
    <row r="1418" spans="58:58" ht="15" customHeight="1">
      <c r="BF1418" s="105">
        <v>1135</v>
      </c>
    </row>
    <row r="1419" spans="58:58" ht="15" customHeight="1">
      <c r="BF1419" s="105">
        <v>1136</v>
      </c>
    </row>
    <row r="1420" spans="58:58" ht="15" customHeight="1">
      <c r="BF1420" s="105">
        <v>1137</v>
      </c>
    </row>
    <row r="1421" spans="58:58" ht="15" customHeight="1">
      <c r="BF1421" s="105">
        <v>1138</v>
      </c>
    </row>
    <row r="1422" spans="58:58" ht="15" customHeight="1">
      <c r="BF1422" s="105">
        <v>1139</v>
      </c>
    </row>
    <row r="1423" spans="58:58" ht="15" customHeight="1">
      <c r="BF1423" s="105">
        <v>1140</v>
      </c>
    </row>
    <row r="1424" spans="58:58" ht="15" customHeight="1">
      <c r="BF1424" s="105">
        <v>1141</v>
      </c>
    </row>
    <row r="1425" spans="58:58" ht="15" customHeight="1">
      <c r="BF1425" s="105">
        <v>1142</v>
      </c>
    </row>
    <row r="1426" spans="58:58" ht="15" customHeight="1">
      <c r="BF1426" s="105">
        <v>1143</v>
      </c>
    </row>
    <row r="1427" spans="58:58" ht="15" customHeight="1">
      <c r="BF1427" s="105">
        <v>1144</v>
      </c>
    </row>
    <row r="1428" spans="58:58" ht="15" customHeight="1">
      <c r="BF1428" s="105">
        <v>1145</v>
      </c>
    </row>
    <row r="1429" spans="58:58" ht="15" customHeight="1">
      <c r="BF1429" s="105">
        <v>1146</v>
      </c>
    </row>
    <row r="1430" spans="58:58" ht="15" customHeight="1">
      <c r="BF1430" s="105">
        <v>1147</v>
      </c>
    </row>
    <row r="1431" spans="58:58" ht="15" customHeight="1">
      <c r="BF1431" s="105">
        <v>1148</v>
      </c>
    </row>
    <row r="1432" spans="58:58" ht="15" customHeight="1">
      <c r="BF1432" s="105">
        <v>1149</v>
      </c>
    </row>
    <row r="1433" spans="58:58" ht="15" customHeight="1">
      <c r="BF1433" s="105">
        <v>1150</v>
      </c>
    </row>
    <row r="1434" spans="58:58" ht="15" customHeight="1">
      <c r="BF1434" s="105">
        <v>1151</v>
      </c>
    </row>
    <row r="1435" spans="58:58" ht="15" customHeight="1">
      <c r="BF1435" s="105">
        <v>1152</v>
      </c>
    </row>
    <row r="1436" spans="58:58" ht="15" customHeight="1">
      <c r="BF1436" s="105">
        <v>1153</v>
      </c>
    </row>
    <row r="1437" spans="58:58" ht="15" customHeight="1">
      <c r="BF1437" s="105">
        <v>1154</v>
      </c>
    </row>
    <row r="1438" spans="58:58" ht="15" customHeight="1">
      <c r="BF1438" s="105">
        <v>1155</v>
      </c>
    </row>
    <row r="1439" spans="58:58" ht="15" customHeight="1">
      <c r="BF1439" s="105">
        <v>1156</v>
      </c>
    </row>
    <row r="1440" spans="58:58" ht="15" customHeight="1">
      <c r="BF1440" s="105">
        <v>1157</v>
      </c>
    </row>
    <row r="1441" spans="58:58" ht="15" customHeight="1">
      <c r="BF1441" s="105">
        <v>1158</v>
      </c>
    </row>
    <row r="1442" spans="58:58" ht="15" customHeight="1">
      <c r="BF1442" s="105">
        <v>1159</v>
      </c>
    </row>
    <row r="1443" spans="58:58" ht="15" customHeight="1">
      <c r="BF1443" s="105">
        <v>1160</v>
      </c>
    </row>
    <row r="1444" spans="58:58" ht="15" customHeight="1">
      <c r="BF1444" s="105">
        <v>1161</v>
      </c>
    </row>
    <row r="1445" spans="58:58" ht="15" customHeight="1">
      <c r="BF1445" s="105">
        <v>1162</v>
      </c>
    </row>
    <row r="1446" spans="58:58" ht="15" customHeight="1">
      <c r="BF1446" s="105">
        <v>1163</v>
      </c>
    </row>
    <row r="1447" spans="58:58" ht="15" customHeight="1">
      <c r="BF1447" s="105">
        <v>1164</v>
      </c>
    </row>
    <row r="1448" spans="58:58" ht="15" customHeight="1">
      <c r="BF1448" s="105">
        <v>1165</v>
      </c>
    </row>
    <row r="1449" spans="58:58" ht="15" customHeight="1">
      <c r="BF1449" s="105">
        <v>1166</v>
      </c>
    </row>
    <row r="1450" spans="58:58" ht="15" customHeight="1">
      <c r="BF1450" s="105">
        <v>1167</v>
      </c>
    </row>
    <row r="1451" spans="58:58" ht="15" customHeight="1">
      <c r="BF1451" s="105">
        <v>1168</v>
      </c>
    </row>
    <row r="1452" spans="58:58" ht="15" customHeight="1">
      <c r="BF1452" s="105">
        <v>1169</v>
      </c>
    </row>
    <row r="1453" spans="58:58" ht="15" customHeight="1">
      <c r="BF1453" s="105">
        <v>1170</v>
      </c>
    </row>
    <row r="1454" spans="58:58" ht="15" customHeight="1">
      <c r="BF1454" s="105">
        <v>1171</v>
      </c>
    </row>
    <row r="1455" spans="58:58" ht="15" customHeight="1">
      <c r="BF1455" s="105">
        <v>1172</v>
      </c>
    </row>
    <row r="1456" spans="58:58" ht="15" customHeight="1">
      <c r="BF1456" s="105">
        <v>1173</v>
      </c>
    </row>
    <row r="1457" spans="58:58" ht="15" customHeight="1">
      <c r="BF1457" s="105">
        <v>1174</v>
      </c>
    </row>
    <row r="1458" spans="58:58" ht="15" customHeight="1">
      <c r="BF1458" s="105">
        <v>1175</v>
      </c>
    </row>
    <row r="1459" spans="58:58" ht="15" customHeight="1">
      <c r="BF1459" s="105">
        <v>1176</v>
      </c>
    </row>
    <row r="1460" spans="58:58" ht="15" customHeight="1">
      <c r="BF1460" s="105">
        <v>1177</v>
      </c>
    </row>
    <row r="1461" spans="58:58" ht="15" customHeight="1">
      <c r="BF1461" s="105">
        <v>1178</v>
      </c>
    </row>
    <row r="1462" spans="58:58" ht="15" customHeight="1">
      <c r="BF1462" s="105">
        <v>1179</v>
      </c>
    </row>
    <row r="1463" spans="58:58" ht="15" customHeight="1">
      <c r="BF1463" s="105">
        <v>1180</v>
      </c>
    </row>
    <row r="1464" spans="58:58" ht="15" customHeight="1">
      <c r="BF1464" s="105">
        <v>1181</v>
      </c>
    </row>
    <row r="1465" spans="58:58" ht="15" customHeight="1">
      <c r="BF1465" s="105">
        <v>1182</v>
      </c>
    </row>
    <row r="1466" spans="58:58" ht="15" customHeight="1">
      <c r="BF1466" s="105">
        <v>1183</v>
      </c>
    </row>
    <row r="1467" spans="58:58" ht="15" customHeight="1">
      <c r="BF1467" s="105">
        <v>1184</v>
      </c>
    </row>
    <row r="1468" spans="58:58" ht="15" customHeight="1">
      <c r="BF1468" s="105">
        <v>1185</v>
      </c>
    </row>
    <row r="1469" spans="58:58" ht="15" customHeight="1">
      <c r="BF1469" s="105">
        <v>1186</v>
      </c>
    </row>
    <row r="1470" spans="58:58" ht="15" customHeight="1">
      <c r="BF1470" s="105">
        <v>1187</v>
      </c>
    </row>
    <row r="1471" spans="58:58" ht="15" customHeight="1">
      <c r="BF1471" s="105">
        <v>1188</v>
      </c>
    </row>
    <row r="1472" spans="58:58" ht="15" customHeight="1">
      <c r="BF1472" s="105">
        <v>1189</v>
      </c>
    </row>
    <row r="1473" spans="58:58" ht="15" customHeight="1">
      <c r="BF1473" s="105">
        <v>1190</v>
      </c>
    </row>
    <row r="1474" spans="58:58" ht="15" customHeight="1">
      <c r="BF1474" s="105">
        <v>1191</v>
      </c>
    </row>
    <row r="1475" spans="58:58" ht="15" customHeight="1">
      <c r="BF1475" s="105">
        <v>1192</v>
      </c>
    </row>
    <row r="1476" spans="58:58" ht="15" customHeight="1">
      <c r="BF1476" s="105">
        <v>1193</v>
      </c>
    </row>
    <row r="1477" spans="58:58" ht="15" customHeight="1">
      <c r="BF1477" s="105">
        <v>1194</v>
      </c>
    </row>
    <row r="1478" spans="58:58" ht="15" customHeight="1">
      <c r="BF1478" s="105">
        <v>1195</v>
      </c>
    </row>
    <row r="1479" spans="58:58" ht="15" customHeight="1">
      <c r="BF1479" s="105">
        <v>1196</v>
      </c>
    </row>
    <row r="1480" spans="58:58" ht="15" customHeight="1">
      <c r="BF1480" s="105">
        <v>1197</v>
      </c>
    </row>
    <row r="1481" spans="58:58" ht="15" customHeight="1">
      <c r="BF1481" s="105">
        <v>1198</v>
      </c>
    </row>
    <row r="1482" spans="58:58" ht="15" customHeight="1">
      <c r="BF1482" s="105">
        <v>1199</v>
      </c>
    </row>
    <row r="1483" spans="58:58" ht="15" customHeight="1">
      <c r="BF1483" s="105">
        <v>1200</v>
      </c>
    </row>
    <row r="1484" spans="58:58" ht="15" customHeight="1">
      <c r="BF1484" s="105">
        <v>1201</v>
      </c>
    </row>
    <row r="1485" spans="58:58" ht="15" customHeight="1">
      <c r="BF1485" s="105">
        <v>1202</v>
      </c>
    </row>
    <row r="1486" spans="58:58" ht="15" customHeight="1">
      <c r="BF1486" s="105">
        <v>1203</v>
      </c>
    </row>
    <row r="1487" spans="58:58" ht="15" customHeight="1">
      <c r="BF1487" s="105">
        <v>1204</v>
      </c>
    </row>
    <row r="1488" spans="58:58" ht="15" customHeight="1">
      <c r="BF1488" s="105">
        <v>1205</v>
      </c>
    </row>
    <row r="1489" spans="58:58" ht="15" customHeight="1">
      <c r="BF1489" s="105">
        <v>1206</v>
      </c>
    </row>
    <row r="1490" spans="58:58" ht="15" customHeight="1">
      <c r="BF1490" s="105">
        <v>1207</v>
      </c>
    </row>
    <row r="1491" spans="58:58" ht="15" customHeight="1">
      <c r="BF1491" s="105">
        <v>1208</v>
      </c>
    </row>
    <row r="1492" spans="58:58" ht="15" customHeight="1">
      <c r="BF1492" s="105">
        <v>1209</v>
      </c>
    </row>
    <row r="1493" spans="58:58" ht="15" customHeight="1">
      <c r="BF1493" s="105">
        <v>1210</v>
      </c>
    </row>
    <row r="1494" spans="58:58" ht="15" customHeight="1">
      <c r="BF1494" s="105">
        <v>1211</v>
      </c>
    </row>
    <row r="1495" spans="58:58" ht="15" customHeight="1">
      <c r="BF1495" s="105">
        <v>1212</v>
      </c>
    </row>
    <row r="1496" spans="58:58" ht="15" customHeight="1">
      <c r="BF1496" s="105">
        <v>1213</v>
      </c>
    </row>
    <row r="1497" spans="58:58" ht="15" customHeight="1">
      <c r="BF1497" s="105">
        <v>1214</v>
      </c>
    </row>
    <row r="1498" spans="58:58" ht="15" customHeight="1">
      <c r="BF1498" s="105">
        <v>1215</v>
      </c>
    </row>
    <row r="1499" spans="58:58" ht="15" customHeight="1">
      <c r="BF1499" s="105">
        <v>1216</v>
      </c>
    </row>
    <row r="1500" spans="58:58" ht="15" customHeight="1">
      <c r="BF1500" s="105">
        <v>1217</v>
      </c>
    </row>
    <row r="1501" spans="58:58" ht="15" customHeight="1">
      <c r="BF1501" s="105">
        <v>1218</v>
      </c>
    </row>
    <row r="1502" spans="58:58" ht="15" customHeight="1">
      <c r="BF1502" s="105">
        <v>1219</v>
      </c>
    </row>
    <row r="1503" spans="58:58" ht="15" customHeight="1">
      <c r="BF1503" s="105">
        <v>1220</v>
      </c>
    </row>
    <row r="1504" spans="58:58" ht="15" customHeight="1">
      <c r="BF1504" s="105">
        <v>1221</v>
      </c>
    </row>
    <row r="1505" spans="58:58" ht="15" customHeight="1">
      <c r="BF1505" s="105">
        <v>1222</v>
      </c>
    </row>
    <row r="1506" spans="58:58" ht="15" customHeight="1">
      <c r="BF1506" s="105">
        <v>1223</v>
      </c>
    </row>
    <row r="1507" spans="58:58" ht="15" customHeight="1">
      <c r="BF1507" s="105">
        <v>1224</v>
      </c>
    </row>
    <row r="1508" spans="58:58" ht="15" customHeight="1">
      <c r="BF1508" s="105">
        <v>1225</v>
      </c>
    </row>
    <row r="1509" spans="58:58" ht="15" customHeight="1">
      <c r="BF1509" s="105">
        <v>1226</v>
      </c>
    </row>
    <row r="1510" spans="58:58" ht="15" customHeight="1">
      <c r="BF1510" s="105">
        <v>1227</v>
      </c>
    </row>
    <row r="1511" spans="58:58" ht="15" customHeight="1">
      <c r="BF1511" s="105">
        <v>1228</v>
      </c>
    </row>
    <row r="1512" spans="58:58" ht="15" customHeight="1">
      <c r="BF1512" s="105">
        <v>1229</v>
      </c>
    </row>
    <row r="1513" spans="58:58" ht="15" customHeight="1">
      <c r="BF1513" s="105">
        <v>1230</v>
      </c>
    </row>
    <row r="1514" spans="58:58" ht="15" customHeight="1">
      <c r="BF1514" s="105">
        <v>1231</v>
      </c>
    </row>
    <row r="1515" spans="58:58" ht="15" customHeight="1">
      <c r="BF1515" s="105">
        <v>1232</v>
      </c>
    </row>
    <row r="1516" spans="58:58" ht="15" customHeight="1">
      <c r="BF1516" s="105">
        <v>1233</v>
      </c>
    </row>
    <row r="1517" spans="58:58" ht="15" customHeight="1">
      <c r="BF1517" s="105">
        <v>1234</v>
      </c>
    </row>
    <row r="1518" spans="58:58" ht="15" customHeight="1">
      <c r="BF1518" s="105">
        <v>1235</v>
      </c>
    </row>
    <row r="1519" spans="58:58" ht="15" customHeight="1">
      <c r="BF1519" s="105">
        <v>1236</v>
      </c>
    </row>
    <row r="1520" spans="58:58" ht="15" customHeight="1">
      <c r="BF1520" s="105">
        <v>1237</v>
      </c>
    </row>
    <row r="1521" spans="58:58" ht="15" customHeight="1">
      <c r="BF1521" s="105">
        <v>1238</v>
      </c>
    </row>
    <row r="1522" spans="58:58" ht="15" customHeight="1">
      <c r="BF1522" s="105">
        <v>1239</v>
      </c>
    </row>
    <row r="1523" spans="58:58" ht="15" customHeight="1">
      <c r="BF1523" s="105">
        <v>1240</v>
      </c>
    </row>
    <row r="1524" spans="58:58" ht="15" customHeight="1">
      <c r="BF1524" s="105">
        <v>1241</v>
      </c>
    </row>
    <row r="1525" spans="58:58" ht="15" customHeight="1">
      <c r="BF1525" s="105">
        <v>1242</v>
      </c>
    </row>
    <row r="1526" spans="58:58" ht="15" customHeight="1">
      <c r="BF1526" s="105">
        <v>1243</v>
      </c>
    </row>
    <row r="1527" spans="58:58" ht="15" customHeight="1">
      <c r="BF1527" s="105">
        <v>1244</v>
      </c>
    </row>
    <row r="1528" spans="58:58" ht="15" customHeight="1">
      <c r="BF1528" s="105">
        <v>1245</v>
      </c>
    </row>
    <row r="1529" spans="58:58" ht="15" customHeight="1">
      <c r="BF1529" s="105">
        <v>1246</v>
      </c>
    </row>
    <row r="1530" spans="58:58" ht="15" customHeight="1">
      <c r="BF1530" s="105">
        <v>1247</v>
      </c>
    </row>
    <row r="1531" spans="58:58" ht="15" customHeight="1">
      <c r="BF1531" s="105">
        <v>1248</v>
      </c>
    </row>
    <row r="1532" spans="58:58" ht="15" customHeight="1">
      <c r="BF1532" s="105">
        <v>1249</v>
      </c>
    </row>
    <row r="1533" spans="58:58" ht="15" customHeight="1">
      <c r="BF1533" s="105">
        <v>1250</v>
      </c>
    </row>
    <row r="1534" spans="58:58" ht="15" customHeight="1">
      <c r="BF1534" s="105">
        <v>1251</v>
      </c>
    </row>
    <row r="1535" spans="58:58" ht="15" customHeight="1">
      <c r="BF1535" s="105">
        <v>1252</v>
      </c>
    </row>
    <row r="1536" spans="58:58" ht="15" customHeight="1">
      <c r="BF1536" s="105">
        <v>1253</v>
      </c>
    </row>
    <row r="1537" spans="58:58" ht="15" customHeight="1">
      <c r="BF1537" s="105">
        <v>1254</v>
      </c>
    </row>
    <row r="1538" spans="58:58" ht="15" customHeight="1">
      <c r="BF1538" s="105">
        <v>1255</v>
      </c>
    </row>
    <row r="1539" spans="58:58" ht="15" customHeight="1">
      <c r="BF1539" s="105">
        <v>1256</v>
      </c>
    </row>
    <row r="1540" spans="58:58" ht="15" customHeight="1">
      <c r="BF1540" s="105">
        <v>1257</v>
      </c>
    </row>
    <row r="1541" spans="58:58" ht="15" customHeight="1">
      <c r="BF1541" s="105">
        <v>1258</v>
      </c>
    </row>
    <row r="1542" spans="58:58" ht="15" customHeight="1">
      <c r="BF1542" s="105">
        <v>1259</v>
      </c>
    </row>
    <row r="1543" spans="58:58" ht="15" customHeight="1">
      <c r="BF1543" s="105">
        <v>1260</v>
      </c>
    </row>
    <row r="1544" spans="58:58" ht="15" customHeight="1">
      <c r="BF1544" s="105">
        <v>1261</v>
      </c>
    </row>
    <row r="1545" spans="58:58" ht="15" customHeight="1">
      <c r="BF1545" s="105">
        <v>1262</v>
      </c>
    </row>
    <row r="1546" spans="58:58" ht="15" customHeight="1">
      <c r="BF1546" s="105">
        <v>1263</v>
      </c>
    </row>
    <row r="1547" spans="58:58" ht="15" customHeight="1">
      <c r="BF1547" s="105">
        <v>1264</v>
      </c>
    </row>
    <row r="1548" spans="58:58" ht="15" customHeight="1">
      <c r="BF1548" s="105">
        <v>1265</v>
      </c>
    </row>
    <row r="1549" spans="58:58" ht="15" customHeight="1">
      <c r="BF1549" s="105">
        <v>1266</v>
      </c>
    </row>
    <row r="1550" spans="58:58" ht="15" customHeight="1">
      <c r="BF1550" s="105">
        <v>1267</v>
      </c>
    </row>
    <row r="1551" spans="58:58" ht="15" customHeight="1">
      <c r="BF1551" s="105">
        <v>1268</v>
      </c>
    </row>
    <row r="1552" spans="58:58" ht="15" customHeight="1">
      <c r="BF1552" s="105">
        <v>1269</v>
      </c>
    </row>
    <row r="1553" spans="58:58" ht="15" customHeight="1">
      <c r="BF1553" s="105">
        <v>1270</v>
      </c>
    </row>
    <row r="1554" spans="58:58" ht="15" customHeight="1">
      <c r="BF1554" s="105">
        <v>1271</v>
      </c>
    </row>
    <row r="1555" spans="58:58" ht="15" customHeight="1">
      <c r="BF1555" s="105">
        <v>1272</v>
      </c>
    </row>
    <row r="1556" spans="58:58" ht="15" customHeight="1">
      <c r="BF1556" s="105">
        <v>1273</v>
      </c>
    </row>
    <row r="1557" spans="58:58" ht="15" customHeight="1">
      <c r="BF1557" s="105">
        <v>1274</v>
      </c>
    </row>
    <row r="1558" spans="58:58" ht="15" customHeight="1">
      <c r="BF1558" s="105">
        <v>1275</v>
      </c>
    </row>
    <row r="1559" spans="58:58" ht="15" customHeight="1">
      <c r="BF1559" s="105">
        <v>1276</v>
      </c>
    </row>
    <row r="1560" spans="58:58" ht="15" customHeight="1">
      <c r="BF1560" s="105">
        <v>1277</v>
      </c>
    </row>
    <row r="1561" spans="58:58" ht="15" customHeight="1">
      <c r="BF1561" s="105">
        <v>1278</v>
      </c>
    </row>
    <row r="1562" spans="58:58" ht="15" customHeight="1">
      <c r="BF1562" s="105">
        <v>1279</v>
      </c>
    </row>
    <row r="1563" spans="58:58" ht="15" customHeight="1">
      <c r="BF1563" s="105">
        <v>1280</v>
      </c>
    </row>
    <row r="1564" spans="58:58" ht="15" customHeight="1">
      <c r="BF1564" s="105">
        <v>1281</v>
      </c>
    </row>
    <row r="1565" spans="58:58" ht="15" customHeight="1">
      <c r="BF1565" s="105">
        <v>1282</v>
      </c>
    </row>
    <row r="1566" spans="58:58" ht="15" customHeight="1">
      <c r="BF1566" s="105">
        <v>1283</v>
      </c>
    </row>
    <row r="1567" spans="58:58" ht="15" customHeight="1">
      <c r="BF1567" s="105">
        <v>1284</v>
      </c>
    </row>
    <row r="1568" spans="58:58" ht="15" customHeight="1">
      <c r="BF1568" s="105">
        <v>1285</v>
      </c>
    </row>
    <row r="1569" spans="58:58" ht="15" customHeight="1">
      <c r="BF1569" s="105">
        <v>1286</v>
      </c>
    </row>
    <row r="1570" spans="58:58" ht="15" customHeight="1">
      <c r="BF1570" s="105">
        <v>1287</v>
      </c>
    </row>
    <row r="1571" spans="58:58" ht="15" customHeight="1">
      <c r="BF1571" s="105">
        <v>1288</v>
      </c>
    </row>
    <row r="1572" spans="58:58" ht="15" customHeight="1">
      <c r="BF1572" s="105">
        <v>1289</v>
      </c>
    </row>
    <row r="1573" spans="58:58" ht="15" customHeight="1">
      <c r="BF1573" s="105">
        <v>1290</v>
      </c>
    </row>
    <row r="1574" spans="58:58" ht="15" customHeight="1">
      <c r="BF1574" s="105">
        <v>1291</v>
      </c>
    </row>
    <row r="1575" spans="58:58" ht="15" customHeight="1">
      <c r="BF1575" s="105">
        <v>1292</v>
      </c>
    </row>
    <row r="1576" spans="58:58" ht="15" customHeight="1">
      <c r="BF1576" s="105">
        <v>1293</v>
      </c>
    </row>
    <row r="1577" spans="58:58" ht="15" customHeight="1">
      <c r="BF1577" s="105">
        <v>1294</v>
      </c>
    </row>
    <row r="1578" spans="58:58" ht="15" customHeight="1">
      <c r="BF1578" s="105">
        <v>1295</v>
      </c>
    </row>
    <row r="1579" spans="58:58" ht="15" customHeight="1">
      <c r="BF1579" s="105">
        <v>1296</v>
      </c>
    </row>
    <row r="1580" spans="58:58" ht="15" customHeight="1">
      <c r="BF1580" s="105">
        <v>1297</v>
      </c>
    </row>
    <row r="1581" spans="58:58" ht="15" customHeight="1">
      <c r="BF1581" s="105">
        <v>1298</v>
      </c>
    </row>
    <row r="1582" spans="58:58" ht="15" customHeight="1">
      <c r="BF1582" s="105">
        <v>1299</v>
      </c>
    </row>
    <row r="1583" spans="58:58" ht="15" customHeight="1">
      <c r="BF1583" s="105">
        <v>1300</v>
      </c>
    </row>
    <row r="1584" spans="58:58" ht="15" customHeight="1">
      <c r="BF1584" s="105">
        <v>1301</v>
      </c>
    </row>
    <row r="1585" spans="58:58" ht="15" customHeight="1">
      <c r="BF1585" s="105">
        <v>1302</v>
      </c>
    </row>
    <row r="1586" spans="58:58" ht="15" customHeight="1">
      <c r="BF1586" s="105">
        <v>1303</v>
      </c>
    </row>
    <row r="1587" spans="58:58" ht="15" customHeight="1">
      <c r="BF1587" s="105">
        <v>1304</v>
      </c>
    </row>
    <row r="1588" spans="58:58" ht="15" customHeight="1">
      <c r="BF1588" s="105">
        <v>1305</v>
      </c>
    </row>
    <row r="1589" spans="58:58" ht="15" customHeight="1">
      <c r="BF1589" s="105">
        <v>1306</v>
      </c>
    </row>
    <row r="1590" spans="58:58" ht="15" customHeight="1">
      <c r="BF1590" s="105">
        <v>1307</v>
      </c>
    </row>
    <row r="1591" spans="58:58" ht="15" customHeight="1">
      <c r="BF1591" s="105">
        <v>1308</v>
      </c>
    </row>
    <row r="1592" spans="58:58" ht="15" customHeight="1">
      <c r="BF1592" s="105">
        <v>1309</v>
      </c>
    </row>
    <row r="1593" spans="58:58" ht="15" customHeight="1">
      <c r="BF1593" s="105">
        <v>1310</v>
      </c>
    </row>
    <row r="1594" spans="58:58" ht="15" customHeight="1">
      <c r="BF1594" s="105">
        <v>1311</v>
      </c>
    </row>
    <row r="1595" spans="58:58" ht="15" customHeight="1">
      <c r="BF1595" s="105">
        <v>1312</v>
      </c>
    </row>
    <row r="1596" spans="58:58" ht="15" customHeight="1">
      <c r="BF1596" s="105">
        <v>1313</v>
      </c>
    </row>
    <row r="1597" spans="58:58" ht="15" customHeight="1">
      <c r="BF1597" s="105">
        <v>1314</v>
      </c>
    </row>
    <row r="1598" spans="58:58" ht="15" customHeight="1">
      <c r="BF1598" s="105">
        <v>1315</v>
      </c>
    </row>
    <row r="1599" spans="58:58" ht="15" customHeight="1">
      <c r="BF1599" s="105">
        <v>1316</v>
      </c>
    </row>
    <row r="1600" spans="58:58" ht="15" customHeight="1">
      <c r="BF1600" s="105">
        <v>1317</v>
      </c>
    </row>
    <row r="1601" spans="58:58" ht="15" customHeight="1">
      <c r="BF1601" s="105">
        <v>1318</v>
      </c>
    </row>
    <row r="1602" spans="58:58" ht="15" customHeight="1">
      <c r="BF1602" s="105">
        <v>1319</v>
      </c>
    </row>
    <row r="1603" spans="58:58" ht="15" customHeight="1">
      <c r="BF1603" s="105">
        <v>1320</v>
      </c>
    </row>
    <row r="1604" spans="58:58" ht="15" customHeight="1">
      <c r="BF1604" s="105">
        <v>1321</v>
      </c>
    </row>
    <row r="1605" spans="58:58" ht="15" customHeight="1">
      <c r="BF1605" s="105">
        <v>1322</v>
      </c>
    </row>
    <row r="1606" spans="58:58" ht="15" customHeight="1">
      <c r="BF1606" s="105">
        <v>1323</v>
      </c>
    </row>
    <row r="1607" spans="58:58" ht="15" customHeight="1">
      <c r="BF1607" s="105">
        <v>1324</v>
      </c>
    </row>
    <row r="1608" spans="58:58" ht="15" customHeight="1">
      <c r="BF1608" s="105">
        <v>1325</v>
      </c>
    </row>
    <row r="1609" spans="58:58" ht="15" customHeight="1">
      <c r="BF1609" s="105">
        <v>1326</v>
      </c>
    </row>
    <row r="1610" spans="58:58" ht="15" customHeight="1">
      <c r="BF1610" s="105">
        <v>1327</v>
      </c>
    </row>
    <row r="1611" spans="58:58" ht="15" customHeight="1">
      <c r="BF1611" s="105">
        <v>1328</v>
      </c>
    </row>
    <row r="1612" spans="58:58" ht="15" customHeight="1">
      <c r="BF1612" s="105">
        <v>1329</v>
      </c>
    </row>
    <row r="1613" spans="58:58" ht="15" customHeight="1">
      <c r="BF1613" s="105">
        <v>1330</v>
      </c>
    </row>
    <row r="1614" spans="58:58" ht="15" customHeight="1">
      <c r="BF1614" s="105">
        <v>1331</v>
      </c>
    </row>
    <row r="1615" spans="58:58" ht="15" customHeight="1">
      <c r="BF1615" s="105">
        <v>1332</v>
      </c>
    </row>
    <row r="1616" spans="58:58" ht="15" customHeight="1">
      <c r="BF1616" s="105">
        <v>1333</v>
      </c>
    </row>
    <row r="1617" spans="58:58" ht="15" customHeight="1">
      <c r="BF1617" s="105">
        <v>1334</v>
      </c>
    </row>
    <row r="1618" spans="58:58" ht="15" customHeight="1">
      <c r="BF1618" s="105">
        <v>1335</v>
      </c>
    </row>
    <row r="1619" spans="58:58" ht="15" customHeight="1">
      <c r="BF1619" s="105">
        <v>1336</v>
      </c>
    </row>
    <row r="1620" spans="58:58" ht="15" customHeight="1">
      <c r="BF1620" s="105">
        <v>1337</v>
      </c>
    </row>
    <row r="1621" spans="58:58" ht="15" customHeight="1">
      <c r="BF1621" s="105">
        <v>1338</v>
      </c>
    </row>
    <row r="1622" spans="58:58" ht="15" customHeight="1">
      <c r="BF1622" s="105">
        <v>1339</v>
      </c>
    </row>
    <row r="1623" spans="58:58" ht="15" customHeight="1">
      <c r="BF1623" s="105">
        <v>1340</v>
      </c>
    </row>
    <row r="1624" spans="58:58" ht="15" customHeight="1">
      <c r="BF1624" s="105">
        <v>1341</v>
      </c>
    </row>
    <row r="1625" spans="58:58" ht="15" customHeight="1">
      <c r="BF1625" s="105">
        <v>1342</v>
      </c>
    </row>
    <row r="1626" spans="58:58" ht="15" customHeight="1">
      <c r="BF1626" s="105">
        <v>1343</v>
      </c>
    </row>
    <row r="1627" spans="58:58" ht="15" customHeight="1">
      <c r="BF1627" s="105">
        <v>1344</v>
      </c>
    </row>
    <row r="1628" spans="58:58" ht="15" customHeight="1">
      <c r="BF1628" s="105">
        <v>1345</v>
      </c>
    </row>
    <row r="1629" spans="58:58" ht="15" customHeight="1">
      <c r="BF1629" s="105">
        <v>1346</v>
      </c>
    </row>
    <row r="1630" spans="58:58" ht="15" customHeight="1">
      <c r="BF1630" s="105">
        <v>1347</v>
      </c>
    </row>
    <row r="1631" spans="58:58" ht="15" customHeight="1">
      <c r="BF1631" s="105">
        <v>1348</v>
      </c>
    </row>
    <row r="1632" spans="58:58" ht="15" customHeight="1">
      <c r="BF1632" s="105">
        <v>1349</v>
      </c>
    </row>
    <row r="1633" spans="58:58" ht="15" customHeight="1">
      <c r="BF1633" s="105">
        <v>1350</v>
      </c>
    </row>
    <row r="1634" spans="58:58" ht="15" customHeight="1">
      <c r="BF1634" s="105">
        <v>1351</v>
      </c>
    </row>
    <row r="1635" spans="58:58" ht="15" customHeight="1">
      <c r="BF1635" s="105">
        <v>1352</v>
      </c>
    </row>
    <row r="1636" spans="58:58" ht="15" customHeight="1">
      <c r="BF1636" s="105">
        <v>1353</v>
      </c>
    </row>
    <row r="1637" spans="58:58" ht="15" customHeight="1">
      <c r="BF1637" s="105">
        <v>1354</v>
      </c>
    </row>
    <row r="1638" spans="58:58" ht="15" customHeight="1">
      <c r="BF1638" s="105">
        <v>1355</v>
      </c>
    </row>
    <row r="1639" spans="58:58" ht="15" customHeight="1">
      <c r="BF1639" s="105">
        <v>1356</v>
      </c>
    </row>
    <row r="1640" spans="58:58" ht="15" customHeight="1">
      <c r="BF1640" s="105">
        <v>1357</v>
      </c>
    </row>
    <row r="1641" spans="58:58" ht="15" customHeight="1">
      <c r="BF1641" s="105">
        <v>1358</v>
      </c>
    </row>
    <row r="1642" spans="58:58" ht="15" customHeight="1">
      <c r="BF1642" s="105">
        <v>1359</v>
      </c>
    </row>
    <row r="1643" spans="58:58" ht="15" customHeight="1">
      <c r="BF1643" s="105">
        <v>1360</v>
      </c>
    </row>
    <row r="1644" spans="58:58" ht="15" customHeight="1">
      <c r="BF1644" s="105">
        <v>1361</v>
      </c>
    </row>
    <row r="1645" spans="58:58" ht="15" customHeight="1">
      <c r="BF1645" s="105">
        <v>1362</v>
      </c>
    </row>
    <row r="1646" spans="58:58" ht="15" customHeight="1">
      <c r="BF1646" s="105">
        <v>1363</v>
      </c>
    </row>
    <row r="1647" spans="58:58" ht="15" customHeight="1">
      <c r="BF1647" s="105">
        <v>1364</v>
      </c>
    </row>
    <row r="1648" spans="58:58" ht="15" customHeight="1">
      <c r="BF1648" s="105">
        <v>1365</v>
      </c>
    </row>
    <row r="1649" spans="58:58" ht="15" customHeight="1">
      <c r="BF1649" s="105">
        <v>1366</v>
      </c>
    </row>
    <row r="1650" spans="58:58" ht="15" customHeight="1">
      <c r="BF1650" s="105">
        <v>1367</v>
      </c>
    </row>
    <row r="1651" spans="58:58" ht="15" customHeight="1">
      <c r="BF1651" s="105">
        <v>1368</v>
      </c>
    </row>
    <row r="1652" spans="58:58" ht="15" customHeight="1">
      <c r="BF1652" s="105">
        <v>1369</v>
      </c>
    </row>
    <row r="1653" spans="58:58" ht="15" customHeight="1">
      <c r="BF1653" s="105">
        <v>1370</v>
      </c>
    </row>
    <row r="1654" spans="58:58" ht="15" customHeight="1">
      <c r="BF1654" s="105">
        <v>1371</v>
      </c>
    </row>
    <row r="1655" spans="58:58" ht="15" customHeight="1">
      <c r="BF1655" s="105">
        <v>1372</v>
      </c>
    </row>
    <row r="1656" spans="58:58" ht="15" customHeight="1">
      <c r="BF1656" s="105">
        <v>1373</v>
      </c>
    </row>
    <row r="1657" spans="58:58" ht="15" customHeight="1">
      <c r="BF1657" s="105">
        <v>1374</v>
      </c>
    </row>
    <row r="1658" spans="58:58" ht="15" customHeight="1">
      <c r="BF1658" s="105">
        <v>1375</v>
      </c>
    </row>
    <row r="1659" spans="58:58" ht="15" customHeight="1">
      <c r="BF1659" s="105">
        <v>1376</v>
      </c>
    </row>
    <row r="1660" spans="58:58" ht="15" customHeight="1">
      <c r="BF1660" s="105">
        <v>1377</v>
      </c>
    </row>
    <row r="1661" spans="58:58" ht="15" customHeight="1">
      <c r="BF1661" s="105">
        <v>1378</v>
      </c>
    </row>
    <row r="1662" spans="58:58" ht="15" customHeight="1">
      <c r="BF1662" s="105">
        <v>1379</v>
      </c>
    </row>
    <row r="1663" spans="58:58" ht="15" customHeight="1">
      <c r="BF1663" s="105">
        <v>1380</v>
      </c>
    </row>
    <row r="1664" spans="58:58" ht="15" customHeight="1">
      <c r="BF1664" s="105">
        <v>1381</v>
      </c>
    </row>
    <row r="1665" spans="58:58" ht="15" customHeight="1">
      <c r="BF1665" s="105">
        <v>1382</v>
      </c>
    </row>
    <row r="1666" spans="58:58" ht="15" customHeight="1">
      <c r="BF1666" s="105">
        <v>1383</v>
      </c>
    </row>
    <row r="1667" spans="58:58" ht="15" customHeight="1">
      <c r="BF1667" s="105">
        <v>1384</v>
      </c>
    </row>
    <row r="1668" spans="58:58" ht="15" customHeight="1">
      <c r="BF1668" s="105">
        <v>1385</v>
      </c>
    </row>
    <row r="1669" spans="58:58" ht="15" customHeight="1">
      <c r="BF1669" s="105">
        <v>1386</v>
      </c>
    </row>
    <row r="1670" spans="58:58" ht="15" customHeight="1">
      <c r="BF1670" s="105">
        <v>1387</v>
      </c>
    </row>
    <row r="1671" spans="58:58" ht="15" customHeight="1">
      <c r="BF1671" s="105">
        <v>1388</v>
      </c>
    </row>
    <row r="1672" spans="58:58" ht="15" customHeight="1">
      <c r="BF1672" s="105">
        <v>1389</v>
      </c>
    </row>
    <row r="1673" spans="58:58" ht="15" customHeight="1">
      <c r="BF1673" s="105">
        <v>1390</v>
      </c>
    </row>
    <row r="1674" spans="58:58" ht="15" customHeight="1">
      <c r="BF1674" s="105">
        <v>1391</v>
      </c>
    </row>
    <row r="1675" spans="58:58" ht="15" customHeight="1">
      <c r="BF1675" s="105">
        <v>1392</v>
      </c>
    </row>
    <row r="1676" spans="58:58" ht="15" customHeight="1">
      <c r="BF1676" s="105">
        <v>1393</v>
      </c>
    </row>
    <row r="1677" spans="58:58" ht="15" customHeight="1">
      <c r="BF1677" s="105">
        <v>1394</v>
      </c>
    </row>
    <row r="1678" spans="58:58" ht="15" customHeight="1">
      <c r="BF1678" s="105">
        <v>1395</v>
      </c>
    </row>
    <row r="1679" spans="58:58" ht="15" customHeight="1">
      <c r="BF1679" s="105">
        <v>1396</v>
      </c>
    </row>
    <row r="1680" spans="58:58" ht="15" customHeight="1">
      <c r="BF1680" s="105">
        <v>1397</v>
      </c>
    </row>
    <row r="1681" spans="58:58" ht="15" customHeight="1">
      <c r="BF1681" s="105">
        <v>1398</v>
      </c>
    </row>
    <row r="1682" spans="58:58" ht="15" customHeight="1">
      <c r="BF1682" s="105">
        <v>1399</v>
      </c>
    </row>
    <row r="1683" spans="58:58" ht="15" customHeight="1">
      <c r="BF1683" s="105">
        <v>1400</v>
      </c>
    </row>
    <row r="1684" spans="58:58" ht="15" customHeight="1">
      <c r="BF1684" s="105">
        <v>1401</v>
      </c>
    </row>
    <row r="1685" spans="58:58" ht="15" customHeight="1">
      <c r="BF1685" s="105">
        <v>1402</v>
      </c>
    </row>
    <row r="1686" spans="58:58" ht="15" customHeight="1">
      <c r="BF1686" s="105">
        <v>1403</v>
      </c>
    </row>
    <row r="1687" spans="58:58" ht="15" customHeight="1">
      <c r="BF1687" s="105">
        <v>1404</v>
      </c>
    </row>
    <row r="1688" spans="58:58" ht="15" customHeight="1">
      <c r="BF1688" s="105">
        <v>1405</v>
      </c>
    </row>
    <row r="1689" spans="58:58" ht="15" customHeight="1">
      <c r="BF1689" s="105">
        <v>1406</v>
      </c>
    </row>
    <row r="1690" spans="58:58" ht="15" customHeight="1">
      <c r="BF1690" s="105">
        <v>1407</v>
      </c>
    </row>
    <row r="1691" spans="58:58" ht="15" customHeight="1">
      <c r="BF1691" s="105">
        <v>1408</v>
      </c>
    </row>
    <row r="1692" spans="58:58" ht="15" customHeight="1">
      <c r="BF1692" s="105">
        <v>1409</v>
      </c>
    </row>
    <row r="1693" spans="58:58" ht="15" customHeight="1">
      <c r="BF1693" s="105">
        <v>1410</v>
      </c>
    </row>
    <row r="1694" spans="58:58" ht="15" customHeight="1">
      <c r="BF1694" s="105">
        <v>1411</v>
      </c>
    </row>
    <row r="1695" spans="58:58" ht="15" customHeight="1">
      <c r="BF1695" s="105">
        <v>1412</v>
      </c>
    </row>
    <row r="1696" spans="58:58" ht="15" customHeight="1">
      <c r="BF1696" s="105">
        <v>1413</v>
      </c>
    </row>
    <row r="1697" spans="58:58" ht="15" customHeight="1">
      <c r="BF1697" s="105">
        <v>1414</v>
      </c>
    </row>
    <row r="1698" spans="58:58" ht="15" customHeight="1">
      <c r="BF1698" s="105">
        <v>1415</v>
      </c>
    </row>
    <row r="1699" spans="58:58" ht="15" customHeight="1">
      <c r="BF1699" s="105">
        <v>1416</v>
      </c>
    </row>
    <row r="1700" spans="58:58" ht="15" customHeight="1">
      <c r="BF1700" s="105">
        <v>1417</v>
      </c>
    </row>
    <row r="1701" spans="58:58" ht="15" customHeight="1">
      <c r="BF1701" s="105">
        <v>1418</v>
      </c>
    </row>
    <row r="1702" spans="58:58" ht="15" customHeight="1">
      <c r="BF1702" s="105">
        <v>1419</v>
      </c>
    </row>
    <row r="1703" spans="58:58" ht="15" customHeight="1">
      <c r="BF1703" s="105">
        <v>1420</v>
      </c>
    </row>
    <row r="1704" spans="58:58" ht="15" customHeight="1">
      <c r="BF1704" s="105">
        <v>1421</v>
      </c>
    </row>
    <row r="1705" spans="58:58" ht="15" customHeight="1">
      <c r="BF1705" s="105">
        <v>1422</v>
      </c>
    </row>
    <row r="1706" spans="58:58" ht="15" customHeight="1">
      <c r="BF1706" s="105">
        <v>1423</v>
      </c>
    </row>
    <row r="1707" spans="58:58" ht="15" customHeight="1">
      <c r="BF1707" s="105">
        <v>1424</v>
      </c>
    </row>
    <row r="1708" spans="58:58" ht="15" customHeight="1">
      <c r="BF1708" s="105">
        <v>1425</v>
      </c>
    </row>
    <row r="1709" spans="58:58" ht="15" customHeight="1">
      <c r="BF1709" s="105">
        <v>1426</v>
      </c>
    </row>
    <row r="1710" spans="58:58" ht="15" customHeight="1">
      <c r="BF1710" s="105">
        <v>1427</v>
      </c>
    </row>
    <row r="1711" spans="58:58" ht="15" customHeight="1">
      <c r="BF1711" s="105">
        <v>1428</v>
      </c>
    </row>
    <row r="1712" spans="58:58" ht="15" customHeight="1">
      <c r="BF1712" s="105">
        <v>1429</v>
      </c>
    </row>
    <row r="1713" spans="58:58" ht="15" customHeight="1">
      <c r="BF1713" s="105">
        <v>1430</v>
      </c>
    </row>
    <row r="1714" spans="58:58" ht="15" customHeight="1">
      <c r="BF1714" s="105">
        <v>1431</v>
      </c>
    </row>
    <row r="1715" spans="58:58" ht="15" customHeight="1">
      <c r="BF1715" s="105">
        <v>1432</v>
      </c>
    </row>
    <row r="1716" spans="58:58" ht="15" customHeight="1">
      <c r="BF1716" s="105">
        <v>1433</v>
      </c>
    </row>
    <row r="1717" spans="58:58" ht="15" customHeight="1">
      <c r="BF1717" s="105">
        <v>1434</v>
      </c>
    </row>
    <row r="1718" spans="58:58" ht="15" customHeight="1">
      <c r="BF1718" s="105">
        <v>1435</v>
      </c>
    </row>
    <row r="1719" spans="58:58" ht="15" customHeight="1">
      <c r="BF1719" s="105">
        <v>1436</v>
      </c>
    </row>
    <row r="1720" spans="58:58" ht="15" customHeight="1">
      <c r="BF1720" s="105">
        <v>1437</v>
      </c>
    </row>
    <row r="1721" spans="58:58" ht="15" customHeight="1">
      <c r="BF1721" s="105">
        <v>1438</v>
      </c>
    </row>
    <row r="1722" spans="58:58" ht="15" customHeight="1">
      <c r="BF1722" s="105">
        <v>1439</v>
      </c>
    </row>
    <row r="1723" spans="58:58" ht="15" customHeight="1">
      <c r="BF1723" s="105">
        <v>1440</v>
      </c>
    </row>
    <row r="1724" spans="58:58" ht="15" customHeight="1">
      <c r="BF1724" s="105">
        <v>1441</v>
      </c>
    </row>
    <row r="1725" spans="58:58" ht="15" customHeight="1">
      <c r="BF1725" s="105">
        <v>1442</v>
      </c>
    </row>
    <row r="1726" spans="58:58" ht="15" customHeight="1">
      <c r="BF1726" s="105">
        <v>1443</v>
      </c>
    </row>
    <row r="1727" spans="58:58" ht="15" customHeight="1">
      <c r="BF1727" s="105">
        <v>1444</v>
      </c>
    </row>
    <row r="1728" spans="58:58" ht="15" customHeight="1">
      <c r="BF1728" s="105">
        <v>1445</v>
      </c>
    </row>
    <row r="1729" spans="58:58" ht="15" customHeight="1">
      <c r="BF1729" s="105">
        <v>1446</v>
      </c>
    </row>
    <row r="1730" spans="58:58" ht="15" customHeight="1">
      <c r="BF1730" s="105">
        <v>1447</v>
      </c>
    </row>
    <row r="1731" spans="58:58" ht="15" customHeight="1">
      <c r="BF1731" s="105">
        <v>1448</v>
      </c>
    </row>
    <row r="1732" spans="58:58" ht="15" customHeight="1">
      <c r="BF1732" s="105">
        <v>1449</v>
      </c>
    </row>
    <row r="1733" spans="58:58" ht="15" customHeight="1">
      <c r="BF1733" s="105">
        <v>1450</v>
      </c>
    </row>
    <row r="1734" spans="58:58" ht="15" customHeight="1">
      <c r="BF1734" s="105">
        <v>1451</v>
      </c>
    </row>
    <row r="1735" spans="58:58" ht="15" customHeight="1">
      <c r="BF1735" s="105">
        <v>1452</v>
      </c>
    </row>
    <row r="1736" spans="58:58" ht="15" customHeight="1">
      <c r="BF1736" s="105">
        <v>1453</v>
      </c>
    </row>
    <row r="1737" spans="58:58" ht="15" customHeight="1">
      <c r="BF1737" s="105">
        <v>1454</v>
      </c>
    </row>
    <row r="1738" spans="58:58" ht="15" customHeight="1">
      <c r="BF1738" s="105">
        <v>1455</v>
      </c>
    </row>
    <row r="1739" spans="58:58" ht="15" customHeight="1">
      <c r="BF1739" s="105">
        <v>1456</v>
      </c>
    </row>
    <row r="1740" spans="58:58" ht="15" customHeight="1">
      <c r="BF1740" s="105">
        <v>1457</v>
      </c>
    </row>
    <row r="1741" spans="58:58" ht="15" customHeight="1">
      <c r="BF1741" s="105">
        <v>1458</v>
      </c>
    </row>
    <row r="1742" spans="58:58" ht="15" customHeight="1">
      <c r="BF1742" s="105">
        <v>1459</v>
      </c>
    </row>
    <row r="1743" spans="58:58" ht="15" customHeight="1">
      <c r="BF1743" s="105">
        <v>1460</v>
      </c>
    </row>
    <row r="1744" spans="58:58" ht="15" customHeight="1">
      <c r="BF1744" s="105">
        <v>1461</v>
      </c>
    </row>
    <row r="1745" spans="58:58" ht="15" customHeight="1">
      <c r="BF1745" s="105">
        <v>1462</v>
      </c>
    </row>
    <row r="1746" spans="58:58" ht="15" customHeight="1">
      <c r="BF1746" s="105">
        <v>1463</v>
      </c>
    </row>
    <row r="1747" spans="58:58" ht="15" customHeight="1">
      <c r="BF1747" s="105">
        <v>1464</v>
      </c>
    </row>
    <row r="1748" spans="58:58" ht="15" customHeight="1">
      <c r="BF1748" s="105">
        <v>1465</v>
      </c>
    </row>
    <row r="1749" spans="58:58" ht="15" customHeight="1">
      <c r="BF1749" s="105">
        <v>1466</v>
      </c>
    </row>
    <row r="1750" spans="58:58" ht="15" customHeight="1">
      <c r="BF1750" s="105">
        <v>1467</v>
      </c>
    </row>
    <row r="1751" spans="58:58" ht="15" customHeight="1">
      <c r="BF1751" s="105">
        <v>1468</v>
      </c>
    </row>
    <row r="1752" spans="58:58" ht="15" customHeight="1">
      <c r="BF1752" s="105">
        <v>1469</v>
      </c>
    </row>
    <row r="1753" spans="58:58" ht="15" customHeight="1">
      <c r="BF1753" s="105">
        <v>1470</v>
      </c>
    </row>
    <row r="1754" spans="58:58" ht="15" customHeight="1">
      <c r="BF1754" s="105">
        <v>1471</v>
      </c>
    </row>
    <row r="1755" spans="58:58" ht="15" customHeight="1">
      <c r="BF1755" s="105">
        <v>1472</v>
      </c>
    </row>
    <row r="1756" spans="58:58" ht="15" customHeight="1">
      <c r="BF1756" s="105">
        <v>1473</v>
      </c>
    </row>
    <row r="1757" spans="58:58" ht="15" customHeight="1">
      <c r="BF1757" s="105">
        <v>1474</v>
      </c>
    </row>
    <row r="1758" spans="58:58" ht="15" customHeight="1">
      <c r="BF1758" s="105">
        <v>1475</v>
      </c>
    </row>
    <row r="1759" spans="58:58" ht="15" customHeight="1">
      <c r="BF1759" s="105">
        <v>1476</v>
      </c>
    </row>
    <row r="1760" spans="58:58" ht="15" customHeight="1">
      <c r="BF1760" s="105">
        <v>1477</v>
      </c>
    </row>
    <row r="1761" spans="58:58" ht="15" customHeight="1">
      <c r="BF1761" s="105">
        <v>1478</v>
      </c>
    </row>
    <row r="1762" spans="58:58" ht="15" customHeight="1">
      <c r="BF1762" s="105">
        <v>1479</v>
      </c>
    </row>
    <row r="1763" spans="58:58" ht="15" customHeight="1">
      <c r="BF1763" s="105">
        <v>1480</v>
      </c>
    </row>
    <row r="1764" spans="58:58" ht="15" customHeight="1">
      <c r="BF1764" s="105">
        <v>1481</v>
      </c>
    </row>
    <row r="1765" spans="58:58" ht="15" customHeight="1">
      <c r="BF1765" s="105">
        <v>1482</v>
      </c>
    </row>
    <row r="1766" spans="58:58" ht="15" customHeight="1">
      <c r="BF1766" s="105">
        <v>1483</v>
      </c>
    </row>
    <row r="1767" spans="58:58" ht="15" customHeight="1">
      <c r="BF1767" s="105">
        <v>1484</v>
      </c>
    </row>
    <row r="1768" spans="58:58" ht="15" customHeight="1">
      <c r="BF1768" s="105">
        <v>1485</v>
      </c>
    </row>
    <row r="1769" spans="58:58" ht="15" customHeight="1">
      <c r="BF1769" s="105">
        <v>1486</v>
      </c>
    </row>
    <row r="1770" spans="58:58" ht="15" customHeight="1">
      <c r="BF1770" s="105">
        <v>1487</v>
      </c>
    </row>
    <row r="1771" spans="58:58" ht="15" customHeight="1">
      <c r="BF1771" s="105">
        <v>1488</v>
      </c>
    </row>
    <row r="1772" spans="58:58" ht="15" customHeight="1">
      <c r="BF1772" s="105">
        <v>1489</v>
      </c>
    </row>
    <row r="1773" spans="58:58" ht="15" customHeight="1">
      <c r="BF1773" s="105">
        <v>1490</v>
      </c>
    </row>
    <row r="1774" spans="58:58" ht="15" customHeight="1">
      <c r="BF1774" s="105">
        <v>1491</v>
      </c>
    </row>
    <row r="1775" spans="58:58" ht="15" customHeight="1">
      <c r="BF1775" s="105">
        <v>1492</v>
      </c>
    </row>
  </sheetData>
  <mergeCells count="15">
    <mergeCell ref="B275:C275"/>
    <mergeCell ref="D275:O275"/>
    <mergeCell ref="B276:C276"/>
    <mergeCell ref="D276:N276"/>
    <mergeCell ref="B277:C277"/>
    <mergeCell ref="D277:N277"/>
    <mergeCell ref="B282:C282"/>
    <mergeCell ref="D281:N281"/>
    <mergeCell ref="D282:N282"/>
    <mergeCell ref="B278:C278"/>
    <mergeCell ref="D278:N278"/>
    <mergeCell ref="B279:C279"/>
    <mergeCell ref="D279:O279"/>
    <mergeCell ref="B280:C280"/>
    <mergeCell ref="D280:O280"/>
  </mergeCells>
  <conditionalFormatting sqref="AY288:BC292 AY301:BC302 AY298:BA300 BB296:BC300">
    <cfRule type="colorScale" priority="191">
      <colorScale>
        <cfvo type="formula" val="$Z$212*0.5"/>
        <cfvo type="num" val="$Z$212"/>
        <cfvo type="formula" val="$Z$212*2"/>
        <color rgb="FFF8696B"/>
        <color rgb="FFFCFCFF"/>
        <color rgb="FF63BE7B"/>
      </colorScale>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sheetPr>
  <dimension ref="A2:AC394"/>
  <sheetViews>
    <sheetView showGridLines="0" topLeftCell="A86" zoomScaleNormal="100" workbookViewId="0">
      <selection activeCell="M13" sqref="M13"/>
    </sheetView>
  </sheetViews>
  <sheetFormatPr defaultColWidth="8.875" defaultRowHeight="14.25"/>
  <cols>
    <col min="1" max="1" width="2.375" customWidth="1"/>
    <col min="2" max="2" width="18.125" customWidth="1"/>
    <col min="3" max="3" width="25.125" bestFit="1" customWidth="1"/>
    <col min="6" max="6" width="16.125" customWidth="1"/>
    <col min="7" max="12" width="12.625" style="18" hidden="1" customWidth="1"/>
    <col min="13" max="13" width="12.625" style="18" customWidth="1"/>
    <col min="14" max="14" width="12.125" style="18" customWidth="1"/>
    <col min="15" max="15" width="12" style="18" customWidth="1"/>
    <col min="16" max="16" width="12.375" style="18" customWidth="1"/>
    <col min="17" max="17" width="13.125" style="18" customWidth="1"/>
    <col min="18" max="18" width="21.625" style="6" customWidth="1"/>
    <col min="20" max="20" width="11" bestFit="1" customWidth="1"/>
    <col min="21" max="21" width="9.625" bestFit="1" customWidth="1"/>
    <col min="25" max="25" width="10.875" bestFit="1" customWidth="1"/>
  </cols>
  <sheetData>
    <row r="2" spans="1:29" s="33" customFormat="1" ht="20.100000000000001" customHeight="1">
      <c r="B2" s="32" t="s">
        <v>472</v>
      </c>
      <c r="G2" s="197"/>
      <c r="H2" s="197"/>
      <c r="I2" s="197"/>
      <c r="J2" s="197"/>
      <c r="K2" s="197"/>
      <c r="L2" s="197"/>
      <c r="M2" s="197"/>
      <c r="N2" s="197"/>
      <c r="O2" s="197"/>
      <c r="P2" s="197"/>
      <c r="Q2" s="197"/>
      <c r="R2" s="34"/>
    </row>
    <row r="3" spans="1:29">
      <c r="B3" s="76" t="s">
        <v>473</v>
      </c>
      <c r="Q3" s="233"/>
    </row>
    <row r="4" spans="1:29" ht="15.75">
      <c r="A4" t="s">
        <v>349</v>
      </c>
      <c r="B4" s="198" t="s">
        <v>254</v>
      </c>
      <c r="C4" s="47"/>
      <c r="D4" s="47"/>
      <c r="E4" s="47"/>
      <c r="F4" s="47"/>
      <c r="G4" s="199">
        <v>2014</v>
      </c>
      <c r="H4" s="199">
        <f>+G4+1</f>
        <v>2015</v>
      </c>
      <c r="I4" s="199">
        <f t="shared" ref="I4:M4" si="0">+H4+1</f>
        <v>2016</v>
      </c>
      <c r="J4" s="199">
        <f t="shared" si="0"/>
        <v>2017</v>
      </c>
      <c r="K4" s="199">
        <f t="shared" si="0"/>
        <v>2018</v>
      </c>
      <c r="L4" s="199">
        <f t="shared" si="0"/>
        <v>2019</v>
      </c>
      <c r="M4" s="199">
        <f t="shared" si="0"/>
        <v>2020</v>
      </c>
      <c r="N4" s="199">
        <f>+M4+1</f>
        <v>2021</v>
      </c>
      <c r="O4" s="199">
        <f>+N4+1</f>
        <v>2022</v>
      </c>
      <c r="P4" s="199">
        <f t="shared" ref="P4" si="1">+O4+1</f>
        <v>2023</v>
      </c>
      <c r="Q4" s="199">
        <f>+P4+1</f>
        <v>2024</v>
      </c>
      <c r="R4" s="49" t="str">
        <f>"CAGR "&amp;$N$4&amp;" - "&amp;$Q$4</f>
        <v>CAGR 2021 - 2024</v>
      </c>
    </row>
    <row r="5" spans="1:29" ht="3.95" customHeight="1">
      <c r="B5" s="44"/>
      <c r="C5" s="44"/>
      <c r="D5" s="44"/>
      <c r="E5" s="44"/>
      <c r="F5" s="44"/>
      <c r="G5" s="200"/>
      <c r="H5" s="200"/>
      <c r="I5" s="200"/>
      <c r="J5" s="200"/>
      <c r="K5" s="200"/>
      <c r="L5" s="200"/>
      <c r="M5" s="200"/>
      <c r="N5" s="200"/>
      <c r="O5" s="200"/>
      <c r="P5" s="200"/>
      <c r="Q5" s="200"/>
      <c r="R5" s="50"/>
    </row>
    <row r="6" spans="1:29" ht="15">
      <c r="B6" s="1" t="s">
        <v>377</v>
      </c>
      <c r="G6" s="708"/>
      <c r="H6" s="708"/>
      <c r="I6" s="708"/>
      <c r="J6" s="708"/>
      <c r="K6" s="708"/>
      <c r="L6" s="708"/>
      <c r="M6" s="201">
        <f>IS!B6</f>
        <v>0</v>
      </c>
      <c r="N6" s="201">
        <v>2099</v>
      </c>
      <c r="O6" s="201">
        <v>11131</v>
      </c>
      <c r="P6" s="201">
        <v>22042</v>
      </c>
      <c r="Q6" s="201">
        <v>43073</v>
      </c>
      <c r="R6" s="52">
        <f t="shared" ref="R6:R28" si="2">IFERROR((Q6/N6)^(1/COUNT($N$4:$Q$4))-1,"")</f>
        <v>1.1283751057901652</v>
      </c>
    </row>
    <row r="7" spans="1:29">
      <c r="B7" t="s">
        <v>258</v>
      </c>
      <c r="G7" s="201"/>
      <c r="H7" s="201"/>
      <c r="I7" s="201"/>
      <c r="J7" s="201"/>
      <c r="K7" s="201"/>
      <c r="L7" s="201"/>
      <c r="M7" s="201">
        <f>IS!B9</f>
        <v>143</v>
      </c>
      <c r="N7" s="201">
        <v>1040</v>
      </c>
      <c r="O7" s="201">
        <v>2944</v>
      </c>
      <c r="P7" s="201">
        <v>8108</v>
      </c>
      <c r="Q7" s="201">
        <v>20597</v>
      </c>
      <c r="R7" s="52">
        <f t="shared" si="2"/>
        <v>1.1095637662125348</v>
      </c>
    </row>
    <row r="8" spans="1:29" ht="15">
      <c r="B8" s="1" t="s">
        <v>259</v>
      </c>
      <c r="G8" s="202">
        <f>G6-G7</f>
        <v>0</v>
      </c>
      <c r="H8" s="202">
        <f t="shared" ref="H8:Q8" si="3">H6-H7</f>
        <v>0</v>
      </c>
      <c r="I8" s="202">
        <f t="shared" si="3"/>
        <v>0</v>
      </c>
      <c r="J8" s="202">
        <f t="shared" si="3"/>
        <v>0</v>
      </c>
      <c r="K8" s="202">
        <f t="shared" si="3"/>
        <v>0</v>
      </c>
      <c r="L8" s="202">
        <f t="shared" si="3"/>
        <v>0</v>
      </c>
      <c r="M8" s="202">
        <f t="shared" si="3"/>
        <v>-143</v>
      </c>
      <c r="N8" s="202">
        <f t="shared" si="3"/>
        <v>1059</v>
      </c>
      <c r="O8" s="202">
        <f t="shared" si="3"/>
        <v>8187</v>
      </c>
      <c r="P8" s="202">
        <f t="shared" si="3"/>
        <v>13934</v>
      </c>
      <c r="Q8" s="202">
        <f t="shared" si="3"/>
        <v>22476</v>
      </c>
      <c r="R8" s="52">
        <f t="shared" si="2"/>
        <v>1.1463758134888158</v>
      </c>
    </row>
    <row r="9" spans="1:29">
      <c r="B9" t="s">
        <v>380</v>
      </c>
      <c r="G9" s="201"/>
      <c r="H9" s="201"/>
      <c r="I9" s="201"/>
      <c r="J9" s="201"/>
      <c r="K9" s="201"/>
      <c r="L9" s="201"/>
      <c r="M9" s="201">
        <f>IS!B13</f>
        <v>4033</v>
      </c>
      <c r="N9" s="201">
        <v>16970</v>
      </c>
      <c r="O9" s="201">
        <v>44351</v>
      </c>
      <c r="P9" s="201">
        <v>68992</v>
      </c>
      <c r="Q9" s="201">
        <v>99450</v>
      </c>
      <c r="R9" s="52">
        <f t="shared" si="2"/>
        <v>0.5558966161929666</v>
      </c>
    </row>
    <row r="10" spans="1:29">
      <c r="B10" t="s">
        <v>266</v>
      </c>
      <c r="G10" s="774"/>
      <c r="H10" s="774"/>
      <c r="I10" s="774"/>
      <c r="J10" s="774"/>
      <c r="K10" s="774"/>
      <c r="L10" s="774"/>
      <c r="M10" s="774">
        <f>IS!B16</f>
        <v>10157</v>
      </c>
      <c r="N10" s="774">
        <v>20228</v>
      </c>
      <c r="O10" s="774">
        <v>43978</v>
      </c>
      <c r="P10" s="774">
        <v>92321</v>
      </c>
      <c r="Q10" s="774">
        <v>136827</v>
      </c>
      <c r="R10" s="87">
        <f t="shared" si="2"/>
        <v>0.61270419258189679</v>
      </c>
    </row>
    <row r="11" spans="1:29">
      <c r="B11" t="s">
        <v>383</v>
      </c>
      <c r="G11" s="201"/>
      <c r="H11" s="201"/>
      <c r="I11" s="201"/>
      <c r="J11" s="201"/>
      <c r="K11" s="201"/>
      <c r="L11" s="201"/>
      <c r="M11" s="201">
        <f>IS!B18</f>
        <v>0</v>
      </c>
      <c r="N11" s="201">
        <v>0</v>
      </c>
      <c r="O11" s="201">
        <v>0</v>
      </c>
      <c r="P11" s="201">
        <v>0</v>
      </c>
      <c r="Q11" s="201">
        <v>0</v>
      </c>
      <c r="R11" s="52" t="str">
        <f t="shared" si="2"/>
        <v/>
      </c>
      <c r="T11" t="s">
        <v>474</v>
      </c>
    </row>
    <row r="12" spans="1:29" ht="15">
      <c r="B12" s="1" t="s">
        <v>206</v>
      </c>
      <c r="G12" s="203">
        <f>+G8-G9-G10-G11</f>
        <v>0</v>
      </c>
      <c r="H12" s="203">
        <f t="shared" ref="H12:Q12" si="4">+H8-H9-H10-H11</f>
        <v>0</v>
      </c>
      <c r="I12" s="203">
        <f t="shared" si="4"/>
        <v>0</v>
      </c>
      <c r="J12" s="203">
        <f t="shared" si="4"/>
        <v>0</v>
      </c>
      <c r="K12" s="203">
        <f t="shared" si="4"/>
        <v>0</v>
      </c>
      <c r="L12" s="203">
        <f t="shared" si="4"/>
        <v>0</v>
      </c>
      <c r="M12" s="203">
        <f t="shared" si="4"/>
        <v>-14333</v>
      </c>
      <c r="N12" s="203">
        <f t="shared" si="4"/>
        <v>-36139</v>
      </c>
      <c r="O12" s="203">
        <f t="shared" si="4"/>
        <v>-80142</v>
      </c>
      <c r="P12" s="203">
        <f t="shared" si="4"/>
        <v>-147379</v>
      </c>
      <c r="Q12" s="203">
        <f t="shared" si="4"/>
        <v>-213801</v>
      </c>
      <c r="R12" s="52">
        <f t="shared" si="2"/>
        <v>0.55958266854751582</v>
      </c>
      <c r="T12" s="18">
        <v>2022</v>
      </c>
      <c r="U12" s="18">
        <f>T$12+1</f>
        <v>2023</v>
      </c>
      <c r="V12" s="18">
        <f t="shared" ref="V12" si="5">U$12+1</f>
        <v>2024</v>
      </c>
      <c r="W12" s="18" t="s">
        <v>475</v>
      </c>
      <c r="X12" s="18" t="s">
        <v>476</v>
      </c>
      <c r="Y12" s="18" t="s">
        <v>477</v>
      </c>
      <c r="Z12" s="18" t="s">
        <v>478</v>
      </c>
      <c r="AA12" s="18" t="s">
        <v>479</v>
      </c>
      <c r="AB12" t="s">
        <v>480</v>
      </c>
      <c r="AC12" s="18"/>
    </row>
    <row r="13" spans="1:29">
      <c r="B13" t="s">
        <v>384</v>
      </c>
      <c r="G13" s="216">
        <f>+SUM(G14:G15)</f>
        <v>0</v>
      </c>
      <c r="H13" s="216">
        <f t="shared" ref="H13:L13" si="6">+SUM(H14:H15)</f>
        <v>0</v>
      </c>
      <c r="I13" s="216">
        <f t="shared" si="6"/>
        <v>0</v>
      </c>
      <c r="J13" s="216">
        <f t="shared" si="6"/>
        <v>0</v>
      </c>
      <c r="K13" s="216">
        <f t="shared" si="6"/>
        <v>0</v>
      </c>
      <c r="L13" s="216">
        <f t="shared" si="6"/>
        <v>0</v>
      </c>
      <c r="M13" s="216">
        <f>IS!B17</f>
        <v>1400</v>
      </c>
      <c r="N13" s="216">
        <v>2548</v>
      </c>
      <c r="O13" s="216">
        <v>5604</v>
      </c>
      <c r="P13" s="216">
        <v>10375</v>
      </c>
      <c r="Q13" s="216">
        <v>18654</v>
      </c>
      <c r="R13" s="52">
        <f t="shared" si="2"/>
        <v>0.64491377371452541</v>
      </c>
      <c r="T13" s="216">
        <v>5600</v>
      </c>
      <c r="U13" s="216">
        <v>3200</v>
      </c>
      <c r="V13" s="216">
        <v>1600</v>
      </c>
      <c r="W13" s="216">
        <v>8164</v>
      </c>
      <c r="X13" s="216">
        <v>6495</v>
      </c>
      <c r="Y13" s="216">
        <v>3660</v>
      </c>
      <c r="Z13" s="216">
        <v>2573</v>
      </c>
      <c r="AA13" s="216">
        <v>2570</v>
      </c>
      <c r="AB13" s="216">
        <v>5630</v>
      </c>
    </row>
    <row r="14" spans="1:29">
      <c r="B14" s="236" t="s">
        <v>386</v>
      </c>
      <c r="G14" s="237"/>
      <c r="H14" s="237"/>
      <c r="I14" s="237"/>
      <c r="J14" s="237"/>
      <c r="K14" s="237"/>
      <c r="L14" s="237"/>
      <c r="M14" s="237" t="str">
        <f>IS!B69</f>
        <v>—</v>
      </c>
      <c r="N14" s="237">
        <v>0</v>
      </c>
      <c r="O14" s="237">
        <v>4000</v>
      </c>
      <c r="P14" s="237">
        <v>7200</v>
      </c>
      <c r="Q14" s="237">
        <v>13000</v>
      </c>
      <c r="R14" s="52" t="str">
        <f t="shared" si="2"/>
        <v/>
      </c>
      <c r="U14" s="79">
        <f>T13/U13</f>
        <v>1.75</v>
      </c>
      <c r="V14" s="79">
        <f t="shared" ref="V14:AB14" si="7">U13/V13</f>
        <v>2</v>
      </c>
      <c r="W14" s="79">
        <f t="shared" si="7"/>
        <v>0.19598236158745713</v>
      </c>
      <c r="X14" s="79">
        <f t="shared" si="7"/>
        <v>1.2569668976135489</v>
      </c>
      <c r="Y14" s="79">
        <f t="shared" si="7"/>
        <v>1.7745901639344261</v>
      </c>
      <c r="Z14" s="79">
        <f t="shared" si="7"/>
        <v>1.4224640497473766</v>
      </c>
      <c r="AA14" s="79">
        <f t="shared" si="7"/>
        <v>1.0011673151750973</v>
      </c>
      <c r="AB14" s="79">
        <f t="shared" si="7"/>
        <v>0.45648312611012432</v>
      </c>
      <c r="AC14" s="82"/>
    </row>
    <row r="15" spans="1:29">
      <c r="B15" s="236" t="s">
        <v>388</v>
      </c>
      <c r="G15" s="252"/>
      <c r="H15" s="252"/>
      <c r="I15" s="252"/>
      <c r="J15" s="252"/>
      <c r="K15" s="252"/>
      <c r="L15" s="252"/>
      <c r="M15" s="252"/>
      <c r="N15" s="252"/>
      <c r="O15" s="252"/>
      <c r="P15" s="252"/>
      <c r="Q15" s="252"/>
      <c r="R15" s="52" t="str">
        <f t="shared" si="2"/>
        <v/>
      </c>
      <c r="T15" t="s">
        <v>481</v>
      </c>
    </row>
    <row r="16" spans="1:29" ht="15">
      <c r="B16" s="1" t="s">
        <v>260</v>
      </c>
      <c r="G16" s="203">
        <f>+G12-G13</f>
        <v>0</v>
      </c>
      <c r="H16" s="203">
        <f t="shared" ref="H16:Q16" si="8">+H12-H13</f>
        <v>0</v>
      </c>
      <c r="I16" s="203">
        <f t="shared" si="8"/>
        <v>0</v>
      </c>
      <c r="J16" s="203">
        <f t="shared" si="8"/>
        <v>0</v>
      </c>
      <c r="K16" s="203">
        <f t="shared" si="8"/>
        <v>0</v>
      </c>
      <c r="L16" s="203">
        <f t="shared" si="8"/>
        <v>0</v>
      </c>
      <c r="M16" s="203">
        <f t="shared" si="8"/>
        <v>-15733</v>
      </c>
      <c r="N16" s="203">
        <f t="shared" si="8"/>
        <v>-38687</v>
      </c>
      <c r="O16" s="203">
        <f t="shared" si="8"/>
        <v>-85746</v>
      </c>
      <c r="P16" s="203">
        <f t="shared" si="8"/>
        <v>-157754</v>
      </c>
      <c r="Q16" s="203">
        <f t="shared" si="8"/>
        <v>-232455</v>
      </c>
      <c r="R16" s="52">
        <f t="shared" si="2"/>
        <v>0.56564559219546995</v>
      </c>
    </row>
    <row r="17" spans="1:25">
      <c r="B17" t="s">
        <v>261</v>
      </c>
      <c r="G17" s="216">
        <f>+G18-G19</f>
        <v>0</v>
      </c>
      <c r="H17" s="216">
        <f t="shared" ref="H17:M17" si="9">+H18-H19</f>
        <v>0</v>
      </c>
      <c r="I17" s="216">
        <f t="shared" si="9"/>
        <v>0</v>
      </c>
      <c r="J17" s="216">
        <f t="shared" si="9"/>
        <v>0</v>
      </c>
      <c r="K17" s="216">
        <f t="shared" si="9"/>
        <v>0</v>
      </c>
      <c r="L17" s="216">
        <f t="shared" si="9"/>
        <v>0</v>
      </c>
      <c r="M17" s="216">
        <f t="shared" si="9"/>
        <v>0</v>
      </c>
      <c r="N17" s="216">
        <v>0</v>
      </c>
      <c r="O17" s="216">
        <v>-7093</v>
      </c>
      <c r="P17" s="216">
        <v>-19322</v>
      </c>
      <c r="Q17" s="216">
        <v>-18249</v>
      </c>
      <c r="R17" s="52" t="str">
        <f t="shared" si="2"/>
        <v/>
      </c>
    </row>
    <row r="18" spans="1:25">
      <c r="B18" s="236" t="s">
        <v>391</v>
      </c>
      <c r="C18" s="76"/>
      <c r="D18" s="76"/>
      <c r="E18" s="76"/>
      <c r="G18" s="237"/>
      <c r="H18" s="237"/>
      <c r="I18" s="237"/>
      <c r="J18" s="237"/>
      <c r="K18" s="237"/>
      <c r="L18" s="237"/>
      <c r="M18" s="237">
        <v>0</v>
      </c>
      <c r="N18" s="237">
        <v>0</v>
      </c>
      <c r="O18" s="237">
        <v>0</v>
      </c>
      <c r="P18" s="237">
        <v>0</v>
      </c>
      <c r="Q18" s="237">
        <v>0</v>
      </c>
      <c r="R18" s="52" t="str">
        <f t="shared" si="2"/>
        <v/>
      </c>
    </row>
    <row r="19" spans="1:25">
      <c r="B19" s="236" t="s">
        <v>393</v>
      </c>
      <c r="C19" s="76"/>
      <c r="D19" s="76"/>
      <c r="E19" s="76"/>
      <c r="G19" s="237"/>
      <c r="H19" s="237"/>
      <c r="I19" s="237"/>
      <c r="J19" s="237"/>
      <c r="K19" s="237"/>
      <c r="L19" s="237"/>
      <c r="M19" s="237">
        <v>0</v>
      </c>
      <c r="N19" s="237">
        <v>0</v>
      </c>
      <c r="O19" s="237">
        <v>7093</v>
      </c>
      <c r="P19" s="237">
        <v>19322</v>
      </c>
      <c r="Q19" s="237">
        <v>18249</v>
      </c>
      <c r="R19" s="52" t="str">
        <f t="shared" si="2"/>
        <v/>
      </c>
      <c r="T19" t="s">
        <v>482</v>
      </c>
    </row>
    <row r="20" spans="1:25">
      <c r="B20" t="s">
        <v>395</v>
      </c>
      <c r="G20" s="201"/>
      <c r="H20" s="201"/>
      <c r="I20" s="201"/>
      <c r="J20" s="201"/>
      <c r="K20" s="201"/>
      <c r="L20" s="201"/>
      <c r="M20" s="201">
        <v>0</v>
      </c>
      <c r="N20" s="201">
        <v>0</v>
      </c>
      <c r="O20" s="201">
        <v>0</v>
      </c>
      <c r="P20" s="201">
        <v>0</v>
      </c>
      <c r="Q20" s="201">
        <v>0</v>
      </c>
      <c r="R20" s="52" t="str">
        <f t="shared" si="2"/>
        <v/>
      </c>
      <c r="T20" s="772">
        <v>2020</v>
      </c>
      <c r="U20" s="771">
        <f>T$20+1</f>
        <v>2021</v>
      </c>
      <c r="V20" s="771">
        <f t="shared" ref="V20:X20" si="10">U$20+1</f>
        <v>2022</v>
      </c>
      <c r="W20" s="771">
        <f t="shared" si="10"/>
        <v>2023</v>
      </c>
      <c r="X20" s="771">
        <f t="shared" si="10"/>
        <v>2024</v>
      </c>
      <c r="Y20" s="772" t="s">
        <v>483</v>
      </c>
    </row>
    <row r="21" spans="1:25">
      <c r="B21" t="s">
        <v>396</v>
      </c>
      <c r="G21" s="201"/>
      <c r="H21" s="201"/>
      <c r="I21" s="201"/>
      <c r="J21" s="201"/>
      <c r="K21" s="201"/>
      <c r="L21" s="201"/>
      <c r="M21" s="201">
        <f>IS!B25</f>
        <v>-309</v>
      </c>
      <c r="N21" s="201">
        <v>67499</v>
      </c>
      <c r="O21" s="201">
        <v>-30142</v>
      </c>
      <c r="P21" s="201">
        <v>19291</v>
      </c>
      <c r="Q21" s="201">
        <v>117382</v>
      </c>
      <c r="R21" s="52">
        <f t="shared" si="2"/>
        <v>0.14835467172345695</v>
      </c>
      <c r="T21" s="12">
        <f>M45/M10</f>
        <v>0.26454661809589447</v>
      </c>
      <c r="U21" s="12">
        <f t="shared" ref="U21:W21" si="11">N45/N10</f>
        <v>0.288758157010085</v>
      </c>
      <c r="V21" s="12">
        <f t="shared" si="11"/>
        <v>0.20337441447996726</v>
      </c>
      <c r="W21" s="12">
        <f t="shared" si="11"/>
        <v>0.16331062271855806</v>
      </c>
      <c r="X21" s="12">
        <f>Q45/Q10</f>
        <v>0.21537415860904646</v>
      </c>
      <c r="Y21" s="12">
        <f>AVERAGE(T21:X21)</f>
        <v>0.22707279418271026</v>
      </c>
    </row>
    <row r="22" spans="1:25" ht="15">
      <c r="B22" s="1" t="s">
        <v>262</v>
      </c>
      <c r="D22" s="1"/>
      <c r="E22" s="1"/>
      <c r="G22" s="461">
        <f>+G16-G17-G20-G21</f>
        <v>0</v>
      </c>
      <c r="H22" s="461">
        <f t="shared" ref="H22:Q22" si="12">+H16-H17-H20-H21</f>
        <v>0</v>
      </c>
      <c r="I22" s="461">
        <f t="shared" si="12"/>
        <v>0</v>
      </c>
      <c r="J22" s="461">
        <f t="shared" si="12"/>
        <v>0</v>
      </c>
      <c r="K22" s="461">
        <f t="shared" si="12"/>
        <v>0</v>
      </c>
      <c r="L22" s="461">
        <f t="shared" si="12"/>
        <v>0</v>
      </c>
      <c r="M22" s="461">
        <f>+M16-M17-M20-M21</f>
        <v>-15424</v>
      </c>
      <c r="N22" s="461">
        <f t="shared" si="12"/>
        <v>-106186</v>
      </c>
      <c r="O22" s="461">
        <f t="shared" si="12"/>
        <v>-48511</v>
      </c>
      <c r="P22" s="461">
        <f t="shared" si="12"/>
        <v>-157723</v>
      </c>
      <c r="Q22" s="461">
        <f t="shared" si="12"/>
        <v>-331588</v>
      </c>
      <c r="R22" s="52">
        <f t="shared" si="2"/>
        <v>0.32933024507157516</v>
      </c>
    </row>
    <row r="23" spans="1:25">
      <c r="B23" t="s">
        <v>263</v>
      </c>
      <c r="G23" s="201"/>
      <c r="H23" s="201"/>
      <c r="I23" s="201"/>
      <c r="J23" s="201"/>
      <c r="K23" s="201"/>
      <c r="L23" s="201"/>
      <c r="M23" s="201">
        <f>IS!B29</f>
        <v>0</v>
      </c>
      <c r="N23" s="201">
        <v>0</v>
      </c>
      <c r="O23" s="201">
        <v>0</v>
      </c>
      <c r="P23" s="201">
        <v>4.8000000000000001E-2</v>
      </c>
      <c r="Q23" s="201">
        <v>5.8999999999999997E-2</v>
      </c>
      <c r="R23" s="52" t="str">
        <f t="shared" si="2"/>
        <v/>
      </c>
    </row>
    <row r="24" spans="1:25" ht="15">
      <c r="B24" s="1" t="s">
        <v>264</v>
      </c>
      <c r="G24" s="203">
        <f>+G22-G23</f>
        <v>0</v>
      </c>
      <c r="H24" s="203">
        <f t="shared" ref="H24:Q24" si="13">+H22-H23</f>
        <v>0</v>
      </c>
      <c r="I24" s="203">
        <f t="shared" si="13"/>
        <v>0</v>
      </c>
      <c r="J24" s="203">
        <f t="shared" si="13"/>
        <v>0</v>
      </c>
      <c r="K24" s="203">
        <f t="shared" si="13"/>
        <v>0</v>
      </c>
      <c r="L24" s="203">
        <f t="shared" si="13"/>
        <v>0</v>
      </c>
      <c r="M24" s="203">
        <f t="shared" si="13"/>
        <v>-15424</v>
      </c>
      <c r="N24" s="203">
        <f t="shared" si="13"/>
        <v>-106186</v>
      </c>
      <c r="O24" s="203">
        <f t="shared" si="13"/>
        <v>-48511</v>
      </c>
      <c r="P24" s="203">
        <f t="shared" si="13"/>
        <v>-157723.04800000001</v>
      </c>
      <c r="Q24" s="203">
        <f t="shared" si="13"/>
        <v>-331588.05900000001</v>
      </c>
      <c r="R24" s="52">
        <f t="shared" si="2"/>
        <v>0.32933030420405207</v>
      </c>
    </row>
    <row r="25" spans="1:25" ht="15">
      <c r="B25" s="1" t="s">
        <v>265</v>
      </c>
      <c r="G25" s="204"/>
      <c r="H25" s="204"/>
      <c r="I25" s="204"/>
      <c r="J25" s="204"/>
      <c r="K25" s="204"/>
      <c r="L25" s="204"/>
      <c r="M25" s="201">
        <f>IS!B48</f>
        <v>-0.13</v>
      </c>
      <c r="N25" s="707">
        <v>-0.77</v>
      </c>
      <c r="O25" s="707">
        <v>-0.25</v>
      </c>
      <c r="P25" s="707">
        <v>-0.78</v>
      </c>
      <c r="Q25" s="707">
        <v>-1.56</v>
      </c>
      <c r="R25" s="52">
        <f t="shared" si="2"/>
        <v>0.19304951438468532</v>
      </c>
      <c r="T25" s="775"/>
      <c r="U25" s="775"/>
      <c r="V25" s="775"/>
    </row>
    <row r="26" spans="1:25" ht="15">
      <c r="B26" s="1" t="s">
        <v>484</v>
      </c>
      <c r="G26" s="204"/>
      <c r="H26" s="204"/>
      <c r="I26" s="204"/>
      <c r="J26" s="204"/>
      <c r="K26" s="204"/>
      <c r="L26" s="204"/>
      <c r="M26" s="204">
        <f>IS!B53</f>
        <v>-0.13</v>
      </c>
      <c r="N26" s="707">
        <v>-0.77</v>
      </c>
      <c r="O26" s="707">
        <v>-0.25</v>
      </c>
      <c r="P26" s="707">
        <v>-0.78</v>
      </c>
      <c r="Q26" s="707">
        <v>-1.56</v>
      </c>
      <c r="R26" s="52">
        <f t="shared" si="2"/>
        <v>0.19304951438468532</v>
      </c>
      <c r="U26" s="79"/>
      <c r="V26" s="79"/>
    </row>
    <row r="27" spans="1:25">
      <c r="B27" t="s">
        <v>485</v>
      </c>
      <c r="G27" s="201"/>
      <c r="H27" s="201"/>
      <c r="I27" s="201"/>
      <c r="J27" s="201"/>
      <c r="K27" s="201"/>
      <c r="L27" s="201"/>
      <c r="M27" s="201">
        <f>IS!B47</f>
        <v>115</v>
      </c>
      <c r="N27" s="201">
        <v>137609.60000000001</v>
      </c>
      <c r="O27" s="201">
        <v>197727.6</v>
      </c>
      <c r="P27" s="201">
        <v>202576.5</v>
      </c>
      <c r="Q27" s="201">
        <v>213029.4</v>
      </c>
      <c r="R27" s="52">
        <f t="shared" si="2"/>
        <v>0.11544382324057745</v>
      </c>
      <c r="U27" s="79"/>
      <c r="V27" s="79"/>
    </row>
    <row r="28" spans="1:25">
      <c r="B28" t="s">
        <v>486</v>
      </c>
      <c r="G28" s="201"/>
      <c r="H28" s="201"/>
      <c r="I28" s="201"/>
      <c r="J28" s="201"/>
      <c r="K28" s="201"/>
      <c r="L28" s="201"/>
      <c r="M28" s="201">
        <f>IS!B52</f>
        <v>115</v>
      </c>
      <c r="N28" s="201">
        <v>137609.60000000001</v>
      </c>
      <c r="O28" s="201">
        <v>197727.6</v>
      </c>
      <c r="P28" s="201">
        <v>202576.5</v>
      </c>
      <c r="Q28" s="201">
        <v>213029.4</v>
      </c>
      <c r="R28" s="52">
        <f t="shared" si="2"/>
        <v>0.11544382324057745</v>
      </c>
    </row>
    <row r="29" spans="1:25" ht="3.95" customHeight="1"/>
    <row r="30" spans="1:25" ht="15.75">
      <c r="A30" t="s">
        <v>349</v>
      </c>
      <c r="B30" s="43" t="s">
        <v>267</v>
      </c>
      <c r="C30" s="47"/>
      <c r="D30" s="47"/>
      <c r="E30" s="47"/>
      <c r="F30" s="47"/>
      <c r="G30" s="199">
        <v>2014</v>
      </c>
      <c r="H30" s="199">
        <f>+G30+1</f>
        <v>2015</v>
      </c>
      <c r="I30" s="199">
        <f t="shared" ref="I30:M30" si="14">+H30+1</f>
        <v>2016</v>
      </c>
      <c r="J30" s="199">
        <f t="shared" si="14"/>
        <v>2017</v>
      </c>
      <c r="K30" s="199">
        <f t="shared" si="14"/>
        <v>2018</v>
      </c>
      <c r="L30" s="199">
        <f t="shared" si="14"/>
        <v>2019</v>
      </c>
      <c r="M30" s="199">
        <f t="shared" si="14"/>
        <v>2020</v>
      </c>
      <c r="N30" s="199">
        <f>+M30+1</f>
        <v>2021</v>
      </c>
      <c r="O30" s="199">
        <f>+N30+1</f>
        <v>2022</v>
      </c>
      <c r="P30" s="199">
        <f t="shared" ref="P30" si="15">+O30+1</f>
        <v>2023</v>
      </c>
      <c r="Q30" s="199">
        <f>+P30+1</f>
        <v>2024</v>
      </c>
      <c r="R30" s="49" t="str">
        <f>"CAGR "&amp;$N$4&amp;" - "&amp;$Q$4</f>
        <v>CAGR 2021 - 2024</v>
      </c>
    </row>
    <row r="31" spans="1:25" s="79" customFormat="1" ht="3.95" customHeight="1">
      <c r="B31" s="205"/>
      <c r="C31" s="205"/>
      <c r="D31" s="205"/>
      <c r="E31" s="205"/>
      <c r="F31" s="205"/>
      <c r="G31" s="206"/>
      <c r="H31" s="206"/>
      <c r="I31" s="206"/>
      <c r="J31" s="206"/>
      <c r="K31" s="206"/>
      <c r="L31" s="206"/>
      <c r="M31" s="206"/>
      <c r="N31" s="206"/>
      <c r="O31" s="206"/>
      <c r="P31" s="206"/>
      <c r="Q31" s="206"/>
      <c r="R31" s="50"/>
    </row>
    <row r="32" spans="1:25">
      <c r="B32" t="s">
        <v>399</v>
      </c>
      <c r="G32" s="209">
        <f>+SUM(G33:G34)</f>
        <v>0</v>
      </c>
      <c r="H32" s="209">
        <f t="shared" ref="H32:Q32" si="16">+SUM(H33:H34)</f>
        <v>0</v>
      </c>
      <c r="I32" s="209">
        <f t="shared" si="16"/>
        <v>0</v>
      </c>
      <c r="J32" s="209">
        <f t="shared" si="16"/>
        <v>0</v>
      </c>
      <c r="K32" s="209">
        <f t="shared" si="16"/>
        <v>0</v>
      </c>
      <c r="L32" s="209">
        <f t="shared" si="16"/>
        <v>0</v>
      </c>
      <c r="M32" s="209">
        <f t="shared" si="16"/>
        <v>36120</v>
      </c>
      <c r="N32" s="209">
        <f>+SUM(N33:N34)</f>
        <v>522468</v>
      </c>
      <c r="O32" s="209">
        <f t="shared" si="16"/>
        <v>355797</v>
      </c>
      <c r="P32" s="209">
        <f t="shared" si="16"/>
        <v>355441</v>
      </c>
      <c r="Q32" s="209">
        <f t="shared" si="16"/>
        <v>340289</v>
      </c>
      <c r="R32" s="52">
        <f t="shared" ref="R32:R37" si="17">IFERROR((Q32/N32)^(1/COUNT($N$4:$Q$4))-1,"")</f>
        <v>-0.10164693549054848</v>
      </c>
    </row>
    <row r="33" spans="2:20">
      <c r="B33" s="236" t="s">
        <v>268</v>
      </c>
      <c r="C33" s="76"/>
      <c r="D33" s="76"/>
      <c r="E33" s="76"/>
      <c r="G33" s="237"/>
      <c r="H33" s="237"/>
      <c r="I33" s="237"/>
      <c r="J33" s="237"/>
      <c r="K33" s="237"/>
      <c r="L33" s="237"/>
      <c r="M33" s="237">
        <v>36120</v>
      </c>
      <c r="N33" s="237">
        <v>399025</v>
      </c>
      <c r="O33" s="237">
        <v>44367</v>
      </c>
      <c r="P33" s="237">
        <v>35665</v>
      </c>
      <c r="Q33" s="237">
        <v>54393</v>
      </c>
      <c r="R33" s="52">
        <f t="shared" si="17"/>
        <v>-0.39237487057445919</v>
      </c>
    </row>
    <row r="34" spans="2:20">
      <c r="B34" s="236" t="s">
        <v>487</v>
      </c>
      <c r="C34" s="76"/>
      <c r="D34" s="76"/>
      <c r="E34" s="76"/>
      <c r="G34" s="237"/>
      <c r="H34" s="237"/>
      <c r="I34" s="237"/>
      <c r="J34" s="237"/>
      <c r="K34" s="237"/>
      <c r="L34" s="237"/>
      <c r="M34" s="237">
        <v>0</v>
      </c>
      <c r="N34" s="237">
        <v>123443</v>
      </c>
      <c r="O34" s="237">
        <v>311430</v>
      </c>
      <c r="P34" s="237">
        <v>319776</v>
      </c>
      <c r="Q34" s="237">
        <v>285896</v>
      </c>
      <c r="R34" s="52">
        <f t="shared" si="17"/>
        <v>0.23363136528071382</v>
      </c>
    </row>
    <row r="35" spans="2:20">
      <c r="B35" t="s">
        <v>269</v>
      </c>
      <c r="G35" s="201"/>
      <c r="H35" s="201"/>
      <c r="I35" s="201"/>
      <c r="J35" s="201"/>
      <c r="K35" s="201"/>
      <c r="L35" s="201"/>
      <c r="M35" s="201">
        <v>390</v>
      </c>
      <c r="N35" s="201">
        <v>707</v>
      </c>
      <c r="O35" s="201">
        <v>3292</v>
      </c>
      <c r="P35" s="201">
        <v>11467</v>
      </c>
      <c r="Q35" s="201">
        <v>6516</v>
      </c>
      <c r="R35" s="52">
        <f t="shared" si="17"/>
        <v>0.7423701229047992</v>
      </c>
    </row>
    <row r="36" spans="2:20">
      <c r="B36" t="s">
        <v>401</v>
      </c>
      <c r="G36" s="201"/>
      <c r="H36" s="201"/>
      <c r="I36" s="201"/>
      <c r="J36" s="201"/>
      <c r="K36" s="201"/>
      <c r="L36" s="201"/>
      <c r="M36" s="201">
        <v>0</v>
      </c>
      <c r="N36" s="201">
        <v>0</v>
      </c>
      <c r="O36" s="201">
        <v>0</v>
      </c>
      <c r="P36" s="201">
        <v>0</v>
      </c>
      <c r="Q36" s="201">
        <v>0</v>
      </c>
      <c r="R36" s="52" t="str">
        <f t="shared" si="17"/>
        <v/>
      </c>
    </row>
    <row r="37" spans="2:20">
      <c r="B37" s="30" t="s">
        <v>403</v>
      </c>
      <c r="C37" s="30"/>
      <c r="D37" s="30"/>
      <c r="E37" s="30"/>
      <c r="G37" s="207">
        <f t="shared" ref="G37:Q37" si="18">+G38-G32-G35-G36</f>
        <v>0</v>
      </c>
      <c r="H37" s="207">
        <f t="shared" si="18"/>
        <v>0</v>
      </c>
      <c r="I37" s="207">
        <f t="shared" si="18"/>
        <v>0</v>
      </c>
      <c r="J37" s="207">
        <f t="shared" si="18"/>
        <v>0</v>
      </c>
      <c r="K37" s="207">
        <f t="shared" si="18"/>
        <v>0</v>
      </c>
      <c r="L37" s="207">
        <f t="shared" si="18"/>
        <v>0</v>
      </c>
      <c r="M37" s="207">
        <f t="shared" si="18"/>
        <v>2069</v>
      </c>
      <c r="N37" s="207">
        <f>+N38-N32-N35-N36</f>
        <v>6442</v>
      </c>
      <c r="O37" s="207">
        <f t="shared" si="18"/>
        <v>12539</v>
      </c>
      <c r="P37" s="207">
        <f t="shared" si="18"/>
        <v>23081</v>
      </c>
      <c r="Q37" s="207">
        <f t="shared" si="18"/>
        <v>31997</v>
      </c>
      <c r="R37" s="52">
        <f t="shared" si="17"/>
        <v>0.49287049655158577</v>
      </c>
      <c r="T37" s="60"/>
    </row>
    <row r="38" spans="2:20" s="1" customFormat="1" ht="15">
      <c r="B38" s="63" t="s">
        <v>272</v>
      </c>
      <c r="C38" s="63"/>
      <c r="D38" s="63"/>
      <c r="E38" s="63"/>
      <c r="F38" s="600"/>
      <c r="G38" s="234"/>
      <c r="H38" s="234"/>
      <c r="I38" s="234"/>
      <c r="J38" s="234"/>
      <c r="K38" s="234"/>
      <c r="L38" s="234"/>
      <c r="M38" s="234">
        <v>38579</v>
      </c>
      <c r="N38" s="234">
        <v>529617</v>
      </c>
      <c r="O38" s="234">
        <v>371628</v>
      </c>
      <c r="P38" s="234">
        <v>389989</v>
      </c>
      <c r="Q38" s="234">
        <v>378802</v>
      </c>
      <c r="R38" s="240">
        <f t="shared" ref="R38:R43" si="19">IFERROR((Q38/N38)^(1/COUNT($G$4:$Q$4))-1,"")</f>
        <v>-3.0007864053061328E-2</v>
      </c>
    </row>
    <row r="39" spans="2:20">
      <c r="B39" t="s">
        <v>273</v>
      </c>
      <c r="G39" s="235">
        <f t="shared" ref="G39:Q39" si="20">+G40-G41</f>
        <v>0</v>
      </c>
      <c r="H39" s="235">
        <f t="shared" si="20"/>
        <v>0</v>
      </c>
      <c r="I39" s="235">
        <f t="shared" si="20"/>
        <v>0</v>
      </c>
      <c r="J39" s="235">
        <f t="shared" si="20"/>
        <v>0</v>
      </c>
      <c r="K39" s="235">
        <f t="shared" si="20"/>
        <v>0</v>
      </c>
      <c r="L39" s="235">
        <f t="shared" si="20"/>
        <v>0</v>
      </c>
      <c r="M39" s="235">
        <f>+M40-M41</f>
        <v>16284</v>
      </c>
      <c r="N39" s="235">
        <f t="shared" si="20"/>
        <v>22902</v>
      </c>
      <c r="O39" s="235">
        <f t="shared" si="20"/>
        <v>29767</v>
      </c>
      <c r="P39" s="235">
        <f t="shared" si="20"/>
        <v>42128</v>
      </c>
      <c r="Q39" s="235">
        <f t="shared" si="20"/>
        <v>62231</v>
      </c>
      <c r="R39" s="52">
        <f t="shared" si="19"/>
        <v>9.5132505896235786E-2</v>
      </c>
    </row>
    <row r="40" spans="2:20">
      <c r="B40" s="236" t="s">
        <v>488</v>
      </c>
      <c r="C40" s="76"/>
      <c r="D40" s="76"/>
      <c r="E40" s="76"/>
      <c r="G40" s="237"/>
      <c r="H40" s="237"/>
      <c r="I40" s="237"/>
      <c r="J40" s="237"/>
      <c r="K40" s="237"/>
      <c r="L40" s="237"/>
      <c r="M40" s="237">
        <v>17987</v>
      </c>
      <c r="N40" s="237">
        <v>26347</v>
      </c>
      <c r="O40" s="237">
        <v>37228</v>
      </c>
      <c r="P40" s="237">
        <v>56727</v>
      </c>
      <c r="Q40" s="237">
        <v>89843</v>
      </c>
      <c r="R40" s="52">
        <f t="shared" si="19"/>
        <v>0.11797501440164893</v>
      </c>
    </row>
    <row r="41" spans="2:20">
      <c r="B41" s="236" t="s">
        <v>408</v>
      </c>
      <c r="C41" s="76"/>
      <c r="D41" s="76"/>
      <c r="E41" s="76"/>
      <c r="G41" s="237"/>
      <c r="H41" s="237"/>
      <c r="I41" s="237"/>
      <c r="J41" s="237"/>
      <c r="K41" s="237"/>
      <c r="L41" s="237"/>
      <c r="M41" s="237">
        <v>1703</v>
      </c>
      <c r="N41" s="237">
        <v>3445</v>
      </c>
      <c r="O41" s="237">
        <v>7461</v>
      </c>
      <c r="P41" s="237">
        <v>14599</v>
      </c>
      <c r="Q41" s="237">
        <v>27612</v>
      </c>
      <c r="R41" s="52">
        <f t="shared" si="19"/>
        <v>0.2082964863580381</v>
      </c>
    </row>
    <row r="42" spans="2:20">
      <c r="B42" s="748" t="s">
        <v>407</v>
      </c>
      <c r="C42" s="748"/>
      <c r="D42" s="748"/>
      <c r="E42" s="748"/>
      <c r="F42" s="748"/>
      <c r="G42" s="749"/>
      <c r="H42" s="749"/>
      <c r="I42" s="749"/>
      <c r="J42" s="749"/>
      <c r="K42" s="749"/>
      <c r="L42" s="749"/>
      <c r="M42" s="749"/>
      <c r="N42" s="749"/>
      <c r="O42" s="749"/>
      <c r="P42" s="749"/>
      <c r="Q42" s="749"/>
      <c r="R42" s="52" t="str">
        <f t="shared" si="19"/>
        <v/>
      </c>
    </row>
    <row r="43" spans="2:20">
      <c r="B43" t="s">
        <v>489</v>
      </c>
      <c r="G43" s="201"/>
      <c r="H43" s="201"/>
      <c r="I43" s="201"/>
      <c r="J43" s="201"/>
      <c r="K43" s="201"/>
      <c r="L43" s="201"/>
      <c r="M43" s="201">
        <v>2687</v>
      </c>
      <c r="N43" s="201">
        <v>5841</v>
      </c>
      <c r="O43" s="201">
        <v>9686</v>
      </c>
      <c r="P43" s="201">
        <v>15819</v>
      </c>
      <c r="Q43" s="201">
        <v>39373</v>
      </c>
      <c r="R43" s="52">
        <f t="shared" si="19"/>
        <v>0.1894258995700131</v>
      </c>
    </row>
    <row r="44" spans="2:20">
      <c r="B44" s="236" t="s">
        <v>490</v>
      </c>
      <c r="C44" s="76"/>
      <c r="D44" s="76"/>
      <c r="E44" s="76"/>
      <c r="G44" s="237"/>
      <c r="H44" s="237"/>
      <c r="I44" s="237"/>
      <c r="J44" s="237"/>
      <c r="K44" s="237"/>
      <c r="L44" s="237"/>
      <c r="M44" s="237">
        <v>0</v>
      </c>
      <c r="N44" s="237">
        <v>0</v>
      </c>
      <c r="O44" s="237">
        <v>742</v>
      </c>
      <c r="P44" s="237">
        <v>742</v>
      </c>
      <c r="Q44" s="237">
        <v>9904</v>
      </c>
      <c r="R44" s="52">
        <f>IFERROR((Q44/O44)^(1/COUNT($G$4:$Q$4))-1,"")</f>
        <v>0.26563857301687333</v>
      </c>
    </row>
    <row r="45" spans="2:20">
      <c r="B45" s="236" t="s">
        <v>409</v>
      </c>
      <c r="C45" s="76"/>
      <c r="D45" s="76"/>
      <c r="E45" s="76"/>
      <c r="G45" s="773">
        <f>+G43-G44</f>
        <v>0</v>
      </c>
      <c r="H45" s="773">
        <f t="shared" ref="H45:Q45" si="21">+H43-H44</f>
        <v>0</v>
      </c>
      <c r="I45" s="773">
        <f t="shared" si="21"/>
        <v>0</v>
      </c>
      <c r="J45" s="773">
        <f t="shared" si="21"/>
        <v>0</v>
      </c>
      <c r="K45" s="773">
        <f t="shared" si="21"/>
        <v>0</v>
      </c>
      <c r="L45" s="773">
        <f t="shared" si="21"/>
        <v>0</v>
      </c>
      <c r="M45" s="773">
        <f t="shared" si="21"/>
        <v>2687</v>
      </c>
      <c r="N45" s="773">
        <f>+N43-N44</f>
        <v>5841</v>
      </c>
      <c r="O45" s="773">
        <f t="shared" si="21"/>
        <v>8944</v>
      </c>
      <c r="P45" s="773">
        <f>+P43-P44</f>
        <v>15077</v>
      </c>
      <c r="Q45" s="773">
        <f t="shared" si="21"/>
        <v>29469</v>
      </c>
      <c r="R45" s="87">
        <f t="shared" ref="R45:R61" si="22">IFERROR((Q45/N45)^(1/COUNT($G$4:$Q$4))-1,"")</f>
        <v>0.15850528008741271</v>
      </c>
    </row>
    <row r="46" spans="2:20">
      <c r="B46" s="30" t="s">
        <v>491</v>
      </c>
      <c r="C46" s="30"/>
      <c r="D46" s="30"/>
      <c r="E46" s="30"/>
      <c r="G46" s="207">
        <f>+G47-G39-G42-G43</f>
        <v>0</v>
      </c>
      <c r="H46" s="207">
        <f t="shared" ref="H46:Q46" si="23">+H47-H39-H42-H43</f>
        <v>0</v>
      </c>
      <c r="I46" s="207">
        <f t="shared" si="23"/>
        <v>0</v>
      </c>
      <c r="J46" s="207">
        <f t="shared" si="23"/>
        <v>0</v>
      </c>
      <c r="K46" s="207">
        <f t="shared" si="23"/>
        <v>0</v>
      </c>
      <c r="L46" s="207">
        <f t="shared" si="23"/>
        <v>0</v>
      </c>
      <c r="M46" s="207">
        <f>+M47-M39-M42-M43</f>
        <v>2928</v>
      </c>
      <c r="N46" s="207">
        <f>+N47-N39-N42-N43</f>
        <v>83668</v>
      </c>
      <c r="O46" s="207">
        <f t="shared" si="23"/>
        <v>186911</v>
      </c>
      <c r="P46" s="207">
        <f>+P47-P39-P42-P43</f>
        <v>105644</v>
      </c>
      <c r="Q46" s="207">
        <f t="shared" si="23"/>
        <v>27982</v>
      </c>
      <c r="R46" s="208">
        <f t="shared" si="22"/>
        <v>-9.4775487085005827E-2</v>
      </c>
    </row>
    <row r="47" spans="2:20" s="1" customFormat="1" ht="15.75" thickBot="1">
      <c r="B47" s="1" t="s">
        <v>492</v>
      </c>
      <c r="F47" s="599"/>
      <c r="G47" s="210"/>
      <c r="H47" s="210"/>
      <c r="I47" s="210"/>
      <c r="J47" s="210"/>
      <c r="K47" s="210"/>
      <c r="L47" s="210"/>
      <c r="M47" s="210">
        <v>21899</v>
      </c>
      <c r="N47" s="210">
        <v>112411</v>
      </c>
      <c r="O47" s="210">
        <v>226364</v>
      </c>
      <c r="P47" s="210">
        <v>163591</v>
      </c>
      <c r="Q47" s="210">
        <v>129586</v>
      </c>
      <c r="R47" s="211">
        <f t="shared" si="22"/>
        <v>1.3009621521524295E-2</v>
      </c>
    </row>
    <row r="48" spans="2:20" s="1" customFormat="1" ht="15.75" thickBot="1">
      <c r="B48" s="212" t="s">
        <v>274</v>
      </c>
      <c r="C48" s="212"/>
      <c r="D48" s="212"/>
      <c r="E48" s="212"/>
      <c r="F48" s="601"/>
      <c r="G48" s="213">
        <f t="shared" ref="G48:Q48" si="24">SUM(G47,G38)</f>
        <v>0</v>
      </c>
      <c r="H48" s="213">
        <f t="shared" si="24"/>
        <v>0</v>
      </c>
      <c r="I48" s="213">
        <f t="shared" si="24"/>
        <v>0</v>
      </c>
      <c r="J48" s="213">
        <f t="shared" si="24"/>
        <v>0</v>
      </c>
      <c r="K48" s="213">
        <f t="shared" si="24"/>
        <v>0</v>
      </c>
      <c r="L48" s="213">
        <f t="shared" si="24"/>
        <v>0</v>
      </c>
      <c r="M48" s="213">
        <f t="shared" si="24"/>
        <v>60478</v>
      </c>
      <c r="N48" s="213">
        <f t="shared" si="24"/>
        <v>642028</v>
      </c>
      <c r="O48" s="213">
        <f t="shared" si="24"/>
        <v>597992</v>
      </c>
      <c r="P48" s="213">
        <f t="shared" si="24"/>
        <v>553580</v>
      </c>
      <c r="Q48" s="213">
        <f t="shared" si="24"/>
        <v>508388</v>
      </c>
      <c r="R48" s="214">
        <f t="shared" si="22"/>
        <v>-2.0993501189822794E-2</v>
      </c>
    </row>
    <row r="49" spans="1:18">
      <c r="B49" t="s">
        <v>275</v>
      </c>
      <c r="G49" s="201"/>
      <c r="H49" s="201"/>
      <c r="I49" s="201"/>
      <c r="J49" s="201"/>
      <c r="K49" s="201"/>
      <c r="L49" s="201"/>
      <c r="M49" s="201">
        <v>538</v>
      </c>
      <c r="N49" s="201">
        <v>1882</v>
      </c>
      <c r="O49" s="201">
        <v>3055</v>
      </c>
      <c r="P49" s="201">
        <v>5599</v>
      </c>
      <c r="Q49" s="201">
        <v>5230</v>
      </c>
      <c r="R49" s="52">
        <f t="shared" si="22"/>
        <v>9.7369575988767165E-2</v>
      </c>
    </row>
    <row r="50" spans="1:18">
      <c r="B50" t="s">
        <v>493</v>
      </c>
      <c r="G50" s="209">
        <f>+SUM(G51:G52)</f>
        <v>0</v>
      </c>
      <c r="H50" s="209">
        <f t="shared" ref="H50:Q50" si="25">+SUM(H51:H52)</f>
        <v>0</v>
      </c>
      <c r="I50" s="209">
        <f t="shared" si="25"/>
        <v>0</v>
      </c>
      <c r="J50" s="209">
        <f t="shared" si="25"/>
        <v>0</v>
      </c>
      <c r="K50" s="209">
        <f t="shared" si="25"/>
        <v>0</v>
      </c>
      <c r="L50" s="209">
        <f t="shared" si="25"/>
        <v>0</v>
      </c>
      <c r="M50" s="209">
        <f t="shared" si="25"/>
        <v>495</v>
      </c>
      <c r="N50" s="209">
        <f t="shared" si="25"/>
        <v>568</v>
      </c>
      <c r="O50" s="209">
        <f t="shared" si="25"/>
        <v>591</v>
      </c>
      <c r="P50" s="209">
        <f t="shared" si="25"/>
        <v>710</v>
      </c>
      <c r="Q50" s="209">
        <f t="shared" si="25"/>
        <v>3366</v>
      </c>
      <c r="R50" s="52">
        <f t="shared" si="22"/>
        <v>0.17557795715527136</v>
      </c>
    </row>
    <row r="51" spans="1:18">
      <c r="B51" s="236" t="s">
        <v>494</v>
      </c>
      <c r="G51" s="237"/>
      <c r="H51" s="237"/>
      <c r="I51" s="237"/>
      <c r="J51" s="237"/>
      <c r="K51" s="237"/>
      <c r="L51" s="237"/>
      <c r="M51" s="237">
        <v>0</v>
      </c>
      <c r="N51" s="237">
        <v>0</v>
      </c>
      <c r="O51" s="237">
        <v>0</v>
      </c>
      <c r="P51" s="237">
        <v>0</v>
      </c>
      <c r="Q51" s="237">
        <v>0</v>
      </c>
      <c r="R51" s="52" t="str">
        <f t="shared" si="22"/>
        <v/>
      </c>
    </row>
    <row r="52" spans="1:18">
      <c r="B52" s="236" t="s">
        <v>495</v>
      </c>
      <c r="G52" s="237"/>
      <c r="H52" s="237"/>
      <c r="I52" s="237"/>
      <c r="J52" s="237"/>
      <c r="K52" s="237"/>
      <c r="L52" s="237"/>
      <c r="M52" s="237">
        <v>495</v>
      </c>
      <c r="N52" s="237">
        <v>568</v>
      </c>
      <c r="O52" s="237">
        <v>591</v>
      </c>
      <c r="P52" s="237">
        <v>710</v>
      </c>
      <c r="Q52" s="237">
        <v>3366</v>
      </c>
      <c r="R52" s="52">
        <f t="shared" si="22"/>
        <v>0.17557795715527136</v>
      </c>
    </row>
    <row r="53" spans="1:18">
      <c r="B53" s="30" t="s">
        <v>413</v>
      </c>
      <c r="C53" s="30"/>
      <c r="D53" s="30"/>
      <c r="E53" s="30"/>
      <c r="G53" s="207">
        <f t="shared" ref="G53:Q53" si="26">+G54-G49-G50</f>
        <v>0</v>
      </c>
      <c r="H53" s="207">
        <f t="shared" si="26"/>
        <v>0</v>
      </c>
      <c r="I53" s="207">
        <f t="shared" si="26"/>
        <v>0</v>
      </c>
      <c r="J53" s="207">
        <f t="shared" si="26"/>
        <v>0</v>
      </c>
      <c r="K53" s="207">
        <f t="shared" si="26"/>
        <v>0</v>
      </c>
      <c r="L53" s="207">
        <f t="shared" si="26"/>
        <v>0</v>
      </c>
      <c r="M53" s="207">
        <f t="shared" si="26"/>
        <v>848</v>
      </c>
      <c r="N53" s="207">
        <f t="shared" si="26"/>
        <v>7241</v>
      </c>
      <c r="O53" s="207">
        <f t="shared" si="26"/>
        <v>16514</v>
      </c>
      <c r="P53" s="207">
        <f t="shared" si="26"/>
        <v>30855</v>
      </c>
      <c r="Q53" s="207">
        <f t="shared" si="26"/>
        <v>27489</v>
      </c>
      <c r="R53" s="760">
        <f t="shared" si="22"/>
        <v>0.12893549174794994</v>
      </c>
    </row>
    <row r="54" spans="1:18">
      <c r="B54" s="30" t="s">
        <v>276</v>
      </c>
      <c r="C54" s="30"/>
      <c r="D54" s="30"/>
      <c r="E54" s="30"/>
      <c r="F54" s="600"/>
      <c r="G54" s="201"/>
      <c r="H54" s="201"/>
      <c r="I54" s="201"/>
      <c r="J54" s="201"/>
      <c r="K54" s="201"/>
      <c r="L54" s="201"/>
      <c r="M54" s="201">
        <v>1881</v>
      </c>
      <c r="N54" s="201">
        <v>9691</v>
      </c>
      <c r="O54" s="201">
        <v>20160</v>
      </c>
      <c r="P54" s="201">
        <v>37164</v>
      </c>
      <c r="Q54" s="201">
        <v>36085</v>
      </c>
      <c r="R54" s="761">
        <f t="shared" si="22"/>
        <v>0.12695164875561704</v>
      </c>
    </row>
    <row r="55" spans="1:18">
      <c r="B55" t="s">
        <v>496</v>
      </c>
      <c r="G55" s="235">
        <f>+SUM(G56:G57)</f>
        <v>0</v>
      </c>
      <c r="H55" s="235">
        <f t="shared" ref="H55:Q55" si="27">+SUM(H56:H57)</f>
        <v>0</v>
      </c>
      <c r="I55" s="235">
        <f t="shared" si="27"/>
        <v>0</v>
      </c>
      <c r="J55" s="235">
        <f t="shared" si="27"/>
        <v>0</v>
      </c>
      <c r="K55" s="235">
        <f t="shared" si="27"/>
        <v>0</v>
      </c>
      <c r="L55" s="235">
        <f t="shared" si="27"/>
        <v>0</v>
      </c>
      <c r="M55" s="235">
        <f t="shared" si="27"/>
        <v>3776</v>
      </c>
      <c r="N55" s="235">
        <f t="shared" si="27"/>
        <v>3643</v>
      </c>
      <c r="O55" s="235">
        <f t="shared" si="27"/>
        <v>3459</v>
      </c>
      <c r="P55" s="235">
        <f t="shared" si="27"/>
        <v>7395</v>
      </c>
      <c r="Q55" s="235">
        <f t="shared" si="27"/>
        <v>14359</v>
      </c>
      <c r="R55" s="760">
        <f t="shared" si="22"/>
        <v>0.13279511061458971</v>
      </c>
    </row>
    <row r="56" spans="1:18">
      <c r="B56" s="236" t="s">
        <v>497</v>
      </c>
      <c r="G56" s="237"/>
      <c r="H56" s="237"/>
      <c r="I56" s="237"/>
      <c r="J56" s="237"/>
      <c r="K56" s="237"/>
      <c r="L56" s="237"/>
      <c r="M56" s="237">
        <v>0</v>
      </c>
      <c r="N56" s="237">
        <v>0</v>
      </c>
      <c r="O56" s="237">
        <v>0</v>
      </c>
      <c r="P56" s="237">
        <v>0</v>
      </c>
      <c r="Q56" s="237">
        <v>0</v>
      </c>
      <c r="R56" s="760" t="str">
        <f t="shared" si="22"/>
        <v/>
      </c>
    </row>
    <row r="57" spans="1:18">
      <c r="B57" s="236" t="s">
        <v>498</v>
      </c>
      <c r="G57" s="237"/>
      <c r="H57" s="237"/>
      <c r="I57" s="237"/>
      <c r="J57" s="237"/>
      <c r="K57" s="237"/>
      <c r="L57" s="237"/>
      <c r="M57" s="237">
        <v>3776</v>
      </c>
      <c r="N57" s="237">
        <v>3643</v>
      </c>
      <c r="O57" s="237">
        <v>3459</v>
      </c>
      <c r="P57" s="237">
        <v>7395</v>
      </c>
      <c r="Q57" s="237">
        <v>14359</v>
      </c>
      <c r="R57" s="760">
        <f t="shared" si="22"/>
        <v>0.13279511061458971</v>
      </c>
    </row>
    <row r="58" spans="1:18">
      <c r="B58" s="30" t="s">
        <v>499</v>
      </c>
      <c r="C58" s="30"/>
      <c r="D58" s="30"/>
      <c r="E58" s="30"/>
      <c r="G58" s="215">
        <f>+G59-G55</f>
        <v>0</v>
      </c>
      <c r="H58" s="215">
        <f t="shared" ref="H58:Q58" si="28">+H59-H55</f>
        <v>0</v>
      </c>
      <c r="I58" s="215">
        <f t="shared" si="28"/>
        <v>0</v>
      </c>
      <c r="J58" s="215">
        <f t="shared" si="28"/>
        <v>0</v>
      </c>
      <c r="K58" s="215">
        <f t="shared" si="28"/>
        <v>0</v>
      </c>
      <c r="L58" s="215">
        <f t="shared" si="28"/>
        <v>0</v>
      </c>
      <c r="M58" s="215">
        <f t="shared" si="28"/>
        <v>1118</v>
      </c>
      <c r="N58" s="215">
        <f t="shared" si="28"/>
        <v>37464</v>
      </c>
      <c r="O58" s="215">
        <f t="shared" si="28"/>
        <v>6162</v>
      </c>
      <c r="P58" s="215">
        <f t="shared" si="28"/>
        <v>24027</v>
      </c>
      <c r="Q58" s="215">
        <f t="shared" si="28"/>
        <v>74082</v>
      </c>
      <c r="R58" s="208">
        <f t="shared" si="22"/>
        <v>6.3942237570762117E-2</v>
      </c>
    </row>
    <row r="59" spans="1:18" s="1" customFormat="1" ht="15.75" thickBot="1">
      <c r="B59" s="1" t="s">
        <v>500</v>
      </c>
      <c r="F59" s="599"/>
      <c r="G59" s="201"/>
      <c r="H59" s="201"/>
      <c r="I59" s="201"/>
      <c r="J59" s="201"/>
      <c r="K59" s="201"/>
      <c r="L59" s="201"/>
      <c r="M59" s="201">
        <v>4894</v>
      </c>
      <c r="N59" s="201">
        <v>41107</v>
      </c>
      <c r="O59" s="201">
        <v>9621</v>
      </c>
      <c r="P59" s="201">
        <v>31422</v>
      </c>
      <c r="Q59" s="201">
        <v>88441</v>
      </c>
      <c r="R59" s="54">
        <f t="shared" si="22"/>
        <v>7.2133574705977921E-2</v>
      </c>
    </row>
    <row r="60" spans="1:18" s="1" customFormat="1" ht="15.75" thickBot="1">
      <c r="B60" s="212" t="s">
        <v>360</v>
      </c>
      <c r="C60" s="212"/>
      <c r="D60" s="212"/>
      <c r="E60" s="212"/>
      <c r="F60" s="601"/>
      <c r="G60" s="213">
        <f t="shared" ref="G60:Q60" si="29">SUM(G59,G54)</f>
        <v>0</v>
      </c>
      <c r="H60" s="213">
        <f t="shared" si="29"/>
        <v>0</v>
      </c>
      <c r="I60" s="213">
        <f t="shared" si="29"/>
        <v>0</v>
      </c>
      <c r="J60" s="213">
        <f t="shared" si="29"/>
        <v>0</v>
      </c>
      <c r="K60" s="213">
        <f t="shared" si="29"/>
        <v>0</v>
      </c>
      <c r="L60" s="213">
        <f t="shared" si="29"/>
        <v>0</v>
      </c>
      <c r="M60" s="213">
        <f t="shared" si="29"/>
        <v>6775</v>
      </c>
      <c r="N60" s="213">
        <f t="shared" si="29"/>
        <v>50798</v>
      </c>
      <c r="O60" s="213">
        <f t="shared" si="29"/>
        <v>29781</v>
      </c>
      <c r="P60" s="213">
        <f t="shared" si="29"/>
        <v>68586</v>
      </c>
      <c r="Q60" s="213">
        <f t="shared" si="29"/>
        <v>124526</v>
      </c>
      <c r="R60" s="214">
        <f t="shared" si="22"/>
        <v>8.4928756188523469E-2</v>
      </c>
    </row>
    <row r="61" spans="1:18" s="1" customFormat="1" ht="15">
      <c r="B61" s="1" t="s">
        <v>279</v>
      </c>
      <c r="F61"/>
      <c r="G61" s="203">
        <f t="shared" ref="G61:Q61" si="30">G48-G60</f>
        <v>0</v>
      </c>
      <c r="H61" s="203">
        <f t="shared" si="30"/>
        <v>0</v>
      </c>
      <c r="I61" s="203">
        <f t="shared" si="30"/>
        <v>0</v>
      </c>
      <c r="J61" s="203">
        <f t="shared" si="30"/>
        <v>0</v>
      </c>
      <c r="K61" s="203">
        <f t="shared" si="30"/>
        <v>0</v>
      </c>
      <c r="L61" s="203">
        <f t="shared" si="30"/>
        <v>0</v>
      </c>
      <c r="M61" s="203">
        <f t="shared" si="30"/>
        <v>53703</v>
      </c>
      <c r="N61" s="203">
        <f t="shared" si="30"/>
        <v>591230</v>
      </c>
      <c r="O61" s="203">
        <f t="shared" si="30"/>
        <v>568211</v>
      </c>
      <c r="P61" s="203">
        <f t="shared" si="30"/>
        <v>484994</v>
      </c>
      <c r="Q61" s="203">
        <f t="shared" si="30"/>
        <v>383862</v>
      </c>
      <c r="R61" s="54">
        <f t="shared" si="22"/>
        <v>-3.850473285079048E-2</v>
      </c>
    </row>
    <row r="62" spans="1:18">
      <c r="B62" t="s">
        <v>501</v>
      </c>
      <c r="G62" s="237"/>
      <c r="H62" s="237"/>
      <c r="I62" s="237"/>
      <c r="J62" s="237"/>
      <c r="K62" s="237"/>
      <c r="L62" s="237"/>
      <c r="M62" s="237">
        <v>0</v>
      </c>
      <c r="N62" s="237">
        <v>0</v>
      </c>
      <c r="O62" s="237">
        <v>0</v>
      </c>
      <c r="P62" s="237">
        <v>0</v>
      </c>
      <c r="Q62" s="237">
        <v>0</v>
      </c>
      <c r="R62" s="52"/>
    </row>
    <row r="63" spans="1:18" ht="3.95" customHeight="1"/>
    <row r="64" spans="1:18" ht="15.75">
      <c r="A64" t="s">
        <v>349</v>
      </c>
      <c r="B64" s="43" t="s">
        <v>234</v>
      </c>
      <c r="C64" s="47"/>
      <c r="D64" s="47"/>
      <c r="E64" s="47"/>
      <c r="F64" s="47"/>
      <c r="G64" s="199">
        <v>2014</v>
      </c>
      <c r="H64" s="199">
        <f>+G64+1</f>
        <v>2015</v>
      </c>
      <c r="I64" s="199">
        <f t="shared" ref="I64:M64" si="31">+H64+1</f>
        <v>2016</v>
      </c>
      <c r="J64" s="199">
        <f t="shared" si="31"/>
        <v>2017</v>
      </c>
      <c r="K64" s="199">
        <f t="shared" si="31"/>
        <v>2018</v>
      </c>
      <c r="L64" s="199">
        <f t="shared" si="31"/>
        <v>2019</v>
      </c>
      <c r="M64" s="199">
        <f t="shared" si="31"/>
        <v>2020</v>
      </c>
      <c r="N64" s="199">
        <f>+M64+1</f>
        <v>2021</v>
      </c>
      <c r="O64" s="199">
        <f>+N64+1</f>
        <v>2022</v>
      </c>
      <c r="P64" s="199">
        <f t="shared" ref="P64" si="32">+O64+1</f>
        <v>2023</v>
      </c>
      <c r="Q64" s="199">
        <f>+P64+1</f>
        <v>2024</v>
      </c>
      <c r="R64" s="49" t="str">
        <f>"CAGR "&amp;$N$4&amp;" - "&amp;$Q$4</f>
        <v>CAGR 2021 - 2024</v>
      </c>
    </row>
    <row r="65" spans="2:18" ht="3.95" customHeight="1">
      <c r="B65" s="205"/>
      <c r="C65" s="205"/>
      <c r="D65" s="205"/>
      <c r="E65" s="205"/>
      <c r="F65" s="205"/>
      <c r="G65" s="206"/>
      <c r="H65" s="206"/>
      <c r="I65" s="206"/>
      <c r="J65" s="206"/>
      <c r="K65" s="206"/>
      <c r="L65" s="206"/>
      <c r="M65" s="206"/>
      <c r="N65" s="206"/>
      <c r="O65" s="206"/>
      <c r="P65" s="206"/>
      <c r="Q65" s="206"/>
      <c r="R65" s="50"/>
    </row>
    <row r="66" spans="2:18">
      <c r="B66" t="s">
        <v>264</v>
      </c>
      <c r="G66" s="216">
        <f>G24</f>
        <v>0</v>
      </c>
      <c r="H66" s="216">
        <f t="shared" ref="H66:Q66" si="33">H24</f>
        <v>0</v>
      </c>
      <c r="I66" s="216">
        <f t="shared" si="33"/>
        <v>0</v>
      </c>
      <c r="J66" s="216">
        <f t="shared" si="33"/>
        <v>0</v>
      </c>
      <c r="K66" s="216">
        <f t="shared" si="33"/>
        <v>0</v>
      </c>
      <c r="L66" s="216">
        <f t="shared" si="33"/>
        <v>0</v>
      </c>
      <c r="M66" s="216">
        <v>-15424</v>
      </c>
      <c r="N66" s="216">
        <f t="shared" si="33"/>
        <v>-106186</v>
      </c>
      <c r="O66" s="216">
        <f t="shared" si="33"/>
        <v>-48511</v>
      </c>
      <c r="P66" s="216">
        <f t="shared" si="33"/>
        <v>-157723.04800000001</v>
      </c>
      <c r="Q66" s="216">
        <f t="shared" si="33"/>
        <v>-331588.05900000001</v>
      </c>
      <c r="R66" s="52">
        <f t="shared" ref="R66:R78" si="34">IFERROR((Q66/N66)^(1/COUNT($G$4:$Q$4))-1,"")</f>
        <v>0.10906607285443415</v>
      </c>
    </row>
    <row r="67" spans="2:18">
      <c r="B67" t="s">
        <v>502</v>
      </c>
      <c r="G67" s="209">
        <f>+G13</f>
        <v>0</v>
      </c>
      <c r="H67" s="209">
        <f t="shared" ref="H67:Q67" si="35">+H13</f>
        <v>0</v>
      </c>
      <c r="I67" s="209">
        <f t="shared" si="35"/>
        <v>0</v>
      </c>
      <c r="J67" s="209">
        <f t="shared" si="35"/>
        <v>0</v>
      </c>
      <c r="K67" s="209">
        <f t="shared" si="35"/>
        <v>0</v>
      </c>
      <c r="L67" s="209">
        <f t="shared" si="35"/>
        <v>0</v>
      </c>
      <c r="M67" s="209">
        <v>1400</v>
      </c>
      <c r="N67" s="209">
        <f t="shared" si="35"/>
        <v>2548</v>
      </c>
      <c r="O67" s="209">
        <f t="shared" si="35"/>
        <v>5604</v>
      </c>
      <c r="P67" s="209">
        <f t="shared" si="35"/>
        <v>10375</v>
      </c>
      <c r="Q67" s="209">
        <f t="shared" si="35"/>
        <v>18654</v>
      </c>
      <c r="R67" s="52">
        <f t="shared" si="34"/>
        <v>0.19838814581329278</v>
      </c>
    </row>
    <row r="68" spans="2:18">
      <c r="B68" t="s">
        <v>419</v>
      </c>
      <c r="G68" s="235">
        <f>+SUM(G69:G72)</f>
        <v>0</v>
      </c>
      <c r="H68" s="235">
        <f t="shared" ref="H68:Q68" si="36">+SUM(H69:H72)</f>
        <v>0</v>
      </c>
      <c r="I68" s="235">
        <f t="shared" si="36"/>
        <v>0</v>
      </c>
      <c r="J68" s="235">
        <f t="shared" si="36"/>
        <v>0</v>
      </c>
      <c r="K68" s="235">
        <f t="shared" si="36"/>
        <v>0</v>
      </c>
      <c r="L68" s="235">
        <f t="shared" si="36"/>
        <v>0</v>
      </c>
      <c r="M68" s="235">
        <f>+SUM(M69:M72)</f>
        <v>743</v>
      </c>
      <c r="N68" s="235">
        <f t="shared" si="36"/>
        <v>757</v>
      </c>
      <c r="O68" s="235">
        <f t="shared" si="36"/>
        <v>-3286</v>
      </c>
      <c r="P68" s="235">
        <f t="shared" si="36"/>
        <v>-16665</v>
      </c>
      <c r="Q68" s="235">
        <f t="shared" si="36"/>
        <v>-15754</v>
      </c>
      <c r="R68" s="52">
        <f t="shared" si="34"/>
        <v>-2.3177863251827713</v>
      </c>
    </row>
    <row r="69" spans="2:18">
      <c r="B69" s="236" t="s">
        <v>503</v>
      </c>
      <c r="G69" s="201"/>
      <c r="H69" s="201"/>
      <c r="I69" s="201"/>
      <c r="J69" s="201"/>
      <c r="K69" s="201"/>
      <c r="L69" s="201"/>
      <c r="M69" s="201">
        <v>-290</v>
      </c>
      <c r="N69" s="201">
        <v>-317</v>
      </c>
      <c r="O69" s="201">
        <v>-1510</v>
      </c>
      <c r="P69" s="201">
        <v>-8175</v>
      </c>
      <c r="Q69" s="201">
        <v>1609</v>
      </c>
      <c r="R69" s="52">
        <f t="shared" si="34"/>
        <v>-2.1591404756438095</v>
      </c>
    </row>
    <row r="70" spans="2:18">
      <c r="B70" s="236" t="s">
        <v>504</v>
      </c>
      <c r="G70" s="201"/>
      <c r="H70" s="201"/>
      <c r="I70" s="201"/>
      <c r="J70" s="201"/>
      <c r="K70" s="201"/>
      <c r="L70" s="201"/>
      <c r="M70" s="201">
        <v>0</v>
      </c>
      <c r="N70" s="201">
        <v>0</v>
      </c>
      <c r="O70" s="201">
        <v>0</v>
      </c>
      <c r="P70" s="201">
        <v>0</v>
      </c>
      <c r="Q70" s="201">
        <v>0</v>
      </c>
      <c r="R70" s="52" t="str">
        <f t="shared" si="34"/>
        <v/>
      </c>
    </row>
    <row r="71" spans="2:18">
      <c r="B71" s="236" t="s">
        <v>505</v>
      </c>
      <c r="G71" s="201"/>
      <c r="H71" s="201"/>
      <c r="I71" s="201"/>
      <c r="J71" s="201"/>
      <c r="K71" s="201"/>
      <c r="L71" s="201"/>
      <c r="M71" s="201">
        <v>0</v>
      </c>
      <c r="N71" s="201">
        <v>0</v>
      </c>
      <c r="O71" s="201">
        <v>0</v>
      </c>
      <c r="P71" s="201">
        <v>0</v>
      </c>
      <c r="Q71" s="201">
        <v>0</v>
      </c>
      <c r="R71" s="52" t="str">
        <f t="shared" si="34"/>
        <v/>
      </c>
    </row>
    <row r="72" spans="2:18">
      <c r="B72" s="236" t="s">
        <v>506</v>
      </c>
      <c r="G72" s="201"/>
      <c r="H72" s="201"/>
      <c r="I72" s="201"/>
      <c r="J72" s="201"/>
      <c r="K72" s="201"/>
      <c r="L72" s="201"/>
      <c r="M72" s="201">
        <v>1033</v>
      </c>
      <c r="N72" s="201">
        <v>1074</v>
      </c>
      <c r="O72" s="201">
        <v>-1776</v>
      </c>
      <c r="P72" s="201">
        <v>-8490</v>
      </c>
      <c r="Q72" s="201">
        <v>-17363</v>
      </c>
      <c r="R72" s="52">
        <f t="shared" si="34"/>
        <v>-2.2878775995386542</v>
      </c>
    </row>
    <row r="73" spans="2:18">
      <c r="B73" t="s">
        <v>417</v>
      </c>
      <c r="G73" s="201"/>
      <c r="H73" s="201"/>
      <c r="I73" s="201"/>
      <c r="J73" s="201"/>
      <c r="K73" s="201"/>
      <c r="L73" s="201"/>
      <c r="M73" s="201">
        <v>1224</v>
      </c>
      <c r="N73" s="201">
        <v>7748</v>
      </c>
      <c r="O73" s="201">
        <v>31456</v>
      </c>
      <c r="P73" s="201">
        <v>69743</v>
      </c>
      <c r="Q73" s="201">
        <v>106878</v>
      </c>
      <c r="R73" s="52">
        <f t="shared" si="34"/>
        <v>0.26943063038005288</v>
      </c>
    </row>
    <row r="74" spans="2:18">
      <c r="B74" t="s">
        <v>420</v>
      </c>
      <c r="G74" s="235">
        <f>+G75-G66-G67-G68-G73</f>
        <v>0</v>
      </c>
      <c r="H74" s="235">
        <f t="shared" ref="H74:Q74" si="37">+H75-H66-H67-H68-H73</f>
        <v>0</v>
      </c>
      <c r="I74" s="235">
        <f t="shared" si="37"/>
        <v>0</v>
      </c>
      <c r="J74" s="235">
        <f t="shared" si="37"/>
        <v>0</v>
      </c>
      <c r="K74" s="235">
        <f t="shared" si="37"/>
        <v>0</v>
      </c>
      <c r="L74" s="235">
        <f t="shared" si="37"/>
        <v>0</v>
      </c>
      <c r="M74" s="235">
        <f t="shared" si="37"/>
        <v>50</v>
      </c>
      <c r="N74" s="235">
        <f t="shared" si="37"/>
        <v>68596</v>
      </c>
      <c r="O74" s="235">
        <f t="shared" si="37"/>
        <v>-29961</v>
      </c>
      <c r="P74" s="235">
        <f t="shared" si="37"/>
        <v>15459.04800000001</v>
      </c>
      <c r="Q74" s="235">
        <f t="shared" si="37"/>
        <v>116127.05900000001</v>
      </c>
      <c r="R74" s="52">
        <f t="shared" si="34"/>
        <v>4.9022895182238457E-2</v>
      </c>
    </row>
    <row r="75" spans="2:18" s="1" customFormat="1" ht="15">
      <c r="B75" s="238" t="s">
        <v>281</v>
      </c>
      <c r="C75" s="238"/>
      <c r="D75" s="238"/>
      <c r="E75" s="238"/>
      <c r="F75" s="600"/>
      <c r="G75" s="239"/>
      <c r="H75" s="239"/>
      <c r="I75" s="239"/>
      <c r="J75" s="239"/>
      <c r="K75" s="239"/>
      <c r="L75" s="239"/>
      <c r="M75" s="239">
        <v>-12007</v>
      </c>
      <c r="N75" s="239">
        <v>-26537</v>
      </c>
      <c r="O75" s="239">
        <v>-44698</v>
      </c>
      <c r="P75" s="239">
        <v>-78811</v>
      </c>
      <c r="Q75" s="239">
        <v>-105683</v>
      </c>
      <c r="R75" s="240">
        <f t="shared" si="34"/>
        <v>0.13385988784811742</v>
      </c>
    </row>
    <row r="76" spans="2:18">
      <c r="B76" t="s">
        <v>28</v>
      </c>
      <c r="G76" s="209">
        <f t="shared" ref="G76:Q76" si="38">+SUM(G77:G78)</f>
        <v>0</v>
      </c>
      <c r="H76" s="209">
        <f t="shared" si="38"/>
        <v>0</v>
      </c>
      <c r="I76" s="209">
        <f t="shared" si="38"/>
        <v>0</v>
      </c>
      <c r="J76" s="209">
        <f t="shared" si="38"/>
        <v>0</v>
      </c>
      <c r="K76" s="209">
        <f t="shared" si="38"/>
        <v>0</v>
      </c>
      <c r="L76" s="209">
        <f t="shared" si="38"/>
        <v>0</v>
      </c>
      <c r="M76" s="209">
        <f t="shared" si="38"/>
        <v>-11676</v>
      </c>
      <c r="N76" s="209">
        <f t="shared" si="38"/>
        <v>-10024</v>
      </c>
      <c r="O76" s="209">
        <f t="shared" si="38"/>
        <v>-12564</v>
      </c>
      <c r="P76" s="209">
        <f t="shared" si="38"/>
        <v>-19549</v>
      </c>
      <c r="Q76" s="209">
        <f t="shared" si="38"/>
        <v>-23569</v>
      </c>
      <c r="R76" s="52">
        <f t="shared" si="34"/>
        <v>8.0822941435753526E-2</v>
      </c>
    </row>
    <row r="77" spans="2:18">
      <c r="B77" s="236" t="s">
        <v>422</v>
      </c>
      <c r="G77" s="237"/>
      <c r="H77" s="237"/>
      <c r="I77" s="237"/>
      <c r="J77" s="237"/>
      <c r="K77" s="237"/>
      <c r="L77" s="237"/>
      <c r="M77" s="237">
        <v>-11676</v>
      </c>
      <c r="N77" s="237">
        <v>-10024</v>
      </c>
      <c r="O77" s="237">
        <v>-12564</v>
      </c>
      <c r="P77" s="237">
        <v>-19549</v>
      </c>
      <c r="Q77" s="237">
        <v>-23569</v>
      </c>
      <c r="R77" s="52">
        <f t="shared" si="34"/>
        <v>8.0822941435753526E-2</v>
      </c>
    </row>
    <row r="78" spans="2:18">
      <c r="B78" s="236" t="s">
        <v>423</v>
      </c>
      <c r="G78" s="237"/>
      <c r="H78" s="237"/>
      <c r="I78" s="237"/>
      <c r="J78" s="237"/>
      <c r="K78" s="237"/>
      <c r="L78" s="237"/>
      <c r="M78" s="237">
        <v>0</v>
      </c>
      <c r="N78" s="237">
        <v>0</v>
      </c>
      <c r="O78" s="237">
        <v>0</v>
      </c>
      <c r="P78" s="237">
        <v>0</v>
      </c>
      <c r="Q78" s="237">
        <v>0</v>
      </c>
      <c r="R78" s="52" t="str">
        <f t="shared" si="34"/>
        <v/>
      </c>
    </row>
    <row r="79" spans="2:18">
      <c r="B79" s="76" t="s">
        <v>425</v>
      </c>
      <c r="G79" s="209">
        <f t="shared" ref="G79:Q79" si="39">+SUM(G80:G83)</f>
        <v>0</v>
      </c>
      <c r="H79" s="209">
        <f t="shared" si="39"/>
        <v>0</v>
      </c>
      <c r="I79" s="209">
        <f t="shared" si="39"/>
        <v>0</v>
      </c>
      <c r="J79" s="209">
        <f t="shared" si="39"/>
        <v>0</v>
      </c>
      <c r="K79" s="209">
        <f t="shared" si="39"/>
        <v>0</v>
      </c>
      <c r="L79" s="209">
        <f t="shared" si="39"/>
        <v>0</v>
      </c>
      <c r="M79" s="209">
        <f>+SUM(M80:M83)</f>
        <v>0</v>
      </c>
      <c r="N79" s="209">
        <f t="shared" si="39"/>
        <v>0</v>
      </c>
      <c r="O79" s="209">
        <f t="shared" si="39"/>
        <v>309197</v>
      </c>
      <c r="P79" s="209">
        <f>+SUM(P80:P83)</f>
        <v>386760</v>
      </c>
      <c r="Q79" s="209">
        <f t="shared" si="39"/>
        <v>-15454</v>
      </c>
      <c r="R79" s="52">
        <f>IFERROR((Q79/O79)^(1/COUNT($G$4:$Q$4))-1,"")</f>
        <v>-1.7615696062484361</v>
      </c>
    </row>
    <row r="80" spans="2:18">
      <c r="B80" s="236" t="s">
        <v>507</v>
      </c>
      <c r="G80" s="237"/>
      <c r="H80" s="237"/>
      <c r="I80" s="237"/>
      <c r="J80" s="237"/>
      <c r="K80" s="237"/>
      <c r="L80" s="237"/>
      <c r="M80" s="237">
        <v>0</v>
      </c>
      <c r="N80" s="237">
        <v>0</v>
      </c>
      <c r="O80" s="237">
        <v>-848</v>
      </c>
      <c r="P80" s="237">
        <v>0</v>
      </c>
      <c r="Q80" s="237">
        <v>-15454</v>
      </c>
      <c r="R80" s="52" t="str">
        <f t="shared" ref="R80:R85" si="40">IFERROR((Q80/N80)^(1/COUNT($G$4:$Q$4))-1,"")</f>
        <v/>
      </c>
    </row>
    <row r="81" spans="1:18">
      <c r="B81" s="236" t="s">
        <v>508</v>
      </c>
      <c r="G81" s="237"/>
      <c r="H81" s="237"/>
      <c r="I81" s="237"/>
      <c r="J81" s="237"/>
      <c r="K81" s="237"/>
      <c r="L81" s="237"/>
      <c r="M81" s="237">
        <v>0</v>
      </c>
      <c r="N81" s="237">
        <v>0</v>
      </c>
      <c r="O81" s="237">
        <v>0</v>
      </c>
      <c r="P81" s="237">
        <v>0</v>
      </c>
      <c r="Q81" s="237">
        <v>0</v>
      </c>
      <c r="R81" s="52" t="str">
        <f t="shared" si="40"/>
        <v/>
      </c>
    </row>
    <row r="82" spans="1:18">
      <c r="B82" s="236" t="s">
        <v>509</v>
      </c>
      <c r="G82" s="237"/>
      <c r="H82" s="237"/>
      <c r="I82" s="237"/>
      <c r="J82" s="237"/>
      <c r="K82" s="237"/>
      <c r="L82" s="237"/>
      <c r="M82" s="237">
        <v>0</v>
      </c>
      <c r="N82" s="237">
        <v>0</v>
      </c>
      <c r="O82" s="237">
        <v>0</v>
      </c>
      <c r="P82" s="237">
        <v>0</v>
      </c>
      <c r="Q82" s="237">
        <v>0</v>
      </c>
      <c r="R82" s="52" t="str">
        <f t="shared" si="40"/>
        <v/>
      </c>
    </row>
    <row r="83" spans="1:18">
      <c r="B83" s="236" t="s">
        <v>510</v>
      </c>
      <c r="G83" s="237"/>
      <c r="H83" s="237"/>
      <c r="I83" s="237"/>
      <c r="J83" s="237"/>
      <c r="K83" s="237"/>
      <c r="L83" s="237"/>
      <c r="M83" s="237">
        <v>0</v>
      </c>
      <c r="N83" s="237">
        <v>0</v>
      </c>
      <c r="O83" s="237">
        <v>310045</v>
      </c>
      <c r="P83" s="237">
        <v>386760</v>
      </c>
      <c r="Q83" s="237">
        <v>0</v>
      </c>
      <c r="R83" s="52" t="str">
        <f t="shared" si="40"/>
        <v/>
      </c>
    </row>
    <row r="84" spans="1:18">
      <c r="B84" t="s">
        <v>426</v>
      </c>
      <c r="G84" s="209">
        <f>+G85-G76-G79</f>
        <v>0</v>
      </c>
      <c r="H84" s="209">
        <f t="shared" ref="H84:Q84" si="41">+H85-H76-H79</f>
        <v>0</v>
      </c>
      <c r="I84" s="209">
        <f t="shared" si="41"/>
        <v>0</v>
      </c>
      <c r="J84" s="209">
        <f t="shared" si="41"/>
        <v>0</v>
      </c>
      <c r="K84" s="209">
        <f t="shared" si="41"/>
        <v>0</v>
      </c>
      <c r="L84" s="209">
        <f t="shared" si="41"/>
        <v>0</v>
      </c>
      <c r="M84" s="209">
        <f t="shared" si="41"/>
        <v>0</v>
      </c>
      <c r="N84" s="209">
        <f t="shared" si="41"/>
        <v>-203761</v>
      </c>
      <c r="O84" s="209">
        <f t="shared" si="41"/>
        <v>-605689</v>
      </c>
      <c r="P84" s="209">
        <f t="shared" si="41"/>
        <v>-298445</v>
      </c>
      <c r="Q84" s="209">
        <f t="shared" si="41"/>
        <v>121753</v>
      </c>
      <c r="R84" s="52">
        <f t="shared" si="40"/>
        <v>-1.9542649319473229</v>
      </c>
    </row>
    <row r="85" spans="1:18" s="1" customFormat="1" ht="15">
      <c r="B85" s="238" t="s">
        <v>282</v>
      </c>
      <c r="C85" s="238"/>
      <c r="D85" s="238"/>
      <c r="E85" s="238"/>
      <c r="F85" s="600"/>
      <c r="G85" s="239"/>
      <c r="H85" s="239"/>
      <c r="I85" s="239"/>
      <c r="J85" s="239"/>
      <c r="K85" s="239"/>
      <c r="L85" s="239"/>
      <c r="M85" s="239">
        <v>-11676</v>
      </c>
      <c r="N85" s="239">
        <v>-213785</v>
      </c>
      <c r="O85" s="239">
        <v>-309056</v>
      </c>
      <c r="P85" s="239">
        <v>68766</v>
      </c>
      <c r="Q85" s="239">
        <v>82730</v>
      </c>
      <c r="R85" s="240">
        <f t="shared" si="40"/>
        <v>-1.9173116103588672</v>
      </c>
    </row>
    <row r="86" spans="1:18">
      <c r="B86" t="s">
        <v>283</v>
      </c>
      <c r="G86" s="201"/>
      <c r="H86" s="201"/>
      <c r="I86" s="201"/>
      <c r="J86" s="201"/>
      <c r="K86" s="201"/>
      <c r="L86" s="201"/>
      <c r="M86" s="201">
        <v>0</v>
      </c>
      <c r="N86" s="201">
        <v>0</v>
      </c>
      <c r="O86" s="201">
        <v>0</v>
      </c>
      <c r="P86" s="201">
        <v>0</v>
      </c>
      <c r="Q86" s="201">
        <v>0</v>
      </c>
      <c r="R86" s="52" t="str">
        <f t="shared" ref="R86:R89" si="42">IFERROR((Q86/G86)^(1/COUNT($G$4:$Q$4))-1,"")</f>
        <v/>
      </c>
    </row>
    <row r="87" spans="1:18">
      <c r="B87" t="s">
        <v>284</v>
      </c>
      <c r="G87" s="201"/>
      <c r="H87" s="201"/>
      <c r="I87" s="201"/>
      <c r="J87" s="201"/>
      <c r="K87" s="201"/>
      <c r="L87" s="201"/>
      <c r="M87" s="201">
        <v>0</v>
      </c>
      <c r="N87" s="201">
        <v>0</v>
      </c>
      <c r="O87" s="201">
        <v>0</v>
      </c>
      <c r="P87" s="201">
        <v>0</v>
      </c>
      <c r="Q87" s="201">
        <v>0</v>
      </c>
      <c r="R87" s="52" t="str">
        <f t="shared" si="42"/>
        <v/>
      </c>
    </row>
    <row r="88" spans="1:18">
      <c r="B88" t="s">
        <v>431</v>
      </c>
      <c r="G88" s="201"/>
      <c r="H88" s="201"/>
      <c r="I88" s="201"/>
      <c r="J88" s="201"/>
      <c r="K88" s="201"/>
      <c r="L88" s="201"/>
      <c r="M88" s="201">
        <v>0</v>
      </c>
      <c r="N88" s="201">
        <v>0</v>
      </c>
      <c r="O88" s="201">
        <v>0</v>
      </c>
      <c r="P88" s="201">
        <v>0</v>
      </c>
      <c r="Q88" s="201">
        <v>0</v>
      </c>
      <c r="R88" s="52" t="str">
        <f t="shared" si="42"/>
        <v/>
      </c>
    </row>
    <row r="89" spans="1:18">
      <c r="B89" t="s">
        <v>427</v>
      </c>
      <c r="G89" s="201"/>
      <c r="H89" s="201"/>
      <c r="I89" s="201"/>
      <c r="J89" s="201"/>
      <c r="K89" s="201"/>
      <c r="L89" s="201"/>
      <c r="M89" s="201">
        <v>0</v>
      </c>
      <c r="N89" s="201">
        <v>0</v>
      </c>
      <c r="O89" s="201">
        <v>0</v>
      </c>
      <c r="P89" s="201">
        <v>0</v>
      </c>
      <c r="Q89" s="201">
        <v>0</v>
      </c>
      <c r="R89" s="52" t="str">
        <f t="shared" si="42"/>
        <v/>
      </c>
    </row>
    <row r="90" spans="1:18">
      <c r="B90" t="s">
        <v>429</v>
      </c>
      <c r="G90" s="201"/>
      <c r="H90" s="201"/>
      <c r="I90" s="201"/>
      <c r="J90" s="201"/>
      <c r="K90" s="201"/>
      <c r="L90" s="201"/>
      <c r="M90" s="201">
        <v>276</v>
      </c>
      <c r="N90" s="201">
        <v>4489</v>
      </c>
      <c r="O90" s="201">
        <v>-905</v>
      </c>
      <c r="P90" s="201">
        <v>1954</v>
      </c>
      <c r="Q90" s="201">
        <v>41449</v>
      </c>
      <c r="R90" s="52">
        <f>IFERROR((Q90/N90)^(1/COUNT($G$4:$Q$4))-1,"")</f>
        <v>0.22394077886553032</v>
      </c>
    </row>
    <row r="91" spans="1:18">
      <c r="B91" t="s">
        <v>434</v>
      </c>
      <c r="G91" s="209">
        <f>+G92-G86-G87-G88-G89-G90</f>
        <v>0</v>
      </c>
      <c r="H91" s="209">
        <f t="shared" ref="H91:Q91" si="43">+H92-H86-H87-H88-H89-H90</f>
        <v>0</v>
      </c>
      <c r="I91" s="209">
        <f t="shared" si="43"/>
        <v>0</v>
      </c>
      <c r="J91" s="209">
        <f t="shared" si="43"/>
        <v>0</v>
      </c>
      <c r="K91" s="209">
        <f t="shared" si="43"/>
        <v>0</v>
      </c>
      <c r="L91" s="209">
        <f t="shared" si="43"/>
        <v>0</v>
      </c>
      <c r="M91" s="209">
        <f t="shared" si="43"/>
        <v>0</v>
      </c>
      <c r="N91" s="209">
        <f t="shared" si="43"/>
        <v>598738</v>
      </c>
      <c r="O91" s="209">
        <f t="shared" si="43"/>
        <v>2001</v>
      </c>
      <c r="P91" s="209">
        <f t="shared" si="43"/>
        <v>-193</v>
      </c>
      <c r="Q91" s="209">
        <f t="shared" si="43"/>
        <v>238</v>
      </c>
      <c r="R91" s="52">
        <f>IFERROR((Q91/N91)^(1/COUNT($G$4:$Q$4))-1,"")</f>
        <v>-0.50926266154357269</v>
      </c>
    </row>
    <row r="92" spans="1:18" s="1" customFormat="1" ht="15">
      <c r="B92" s="238" t="s">
        <v>285</v>
      </c>
      <c r="C92" s="238"/>
      <c r="D92" s="238"/>
      <c r="E92" s="238"/>
      <c r="F92" s="600"/>
      <c r="G92" s="243"/>
      <c r="H92" s="243"/>
      <c r="I92" s="243"/>
      <c r="J92" s="243"/>
      <c r="K92" s="243"/>
      <c r="L92" s="243"/>
      <c r="M92" s="243">
        <v>276</v>
      </c>
      <c r="N92" s="243">
        <v>603227</v>
      </c>
      <c r="O92" s="243">
        <v>1096</v>
      </c>
      <c r="P92" s="243">
        <v>1761</v>
      </c>
      <c r="Q92" s="243">
        <v>41687</v>
      </c>
      <c r="R92" s="240">
        <f>IFERROR((Q92/N92)^(1/COUNT($G$4:$Q$4))-1,"")</f>
        <v>-0.21566461878481591</v>
      </c>
    </row>
    <row r="93" spans="1:18" s="1" customFormat="1" ht="15.75" thickBot="1">
      <c r="B93" s="244" t="s">
        <v>511</v>
      </c>
      <c r="C93" s="241"/>
      <c r="D93" s="241"/>
      <c r="E93" s="241"/>
      <c r="F93" s="602"/>
      <c r="G93" s="245"/>
      <c r="H93" s="245"/>
      <c r="I93" s="245"/>
      <c r="J93" s="245"/>
      <c r="K93" s="245"/>
      <c r="L93" s="245"/>
      <c r="M93" s="245">
        <v>0</v>
      </c>
      <c r="N93" s="245">
        <v>0</v>
      </c>
      <c r="O93" s="245">
        <v>0</v>
      </c>
      <c r="P93" s="245">
        <v>-2</v>
      </c>
      <c r="Q93" s="245">
        <v>25</v>
      </c>
      <c r="R93" s="242" t="str">
        <f>IFERROR((Q93/N93)^(1/COUNT($G$4:$Q$4))-1,"")</f>
        <v/>
      </c>
    </row>
    <row r="94" spans="1:18" s="1" customFormat="1" ht="15">
      <c r="B94" s="1" t="s">
        <v>286</v>
      </c>
      <c r="F94"/>
      <c r="G94" s="210"/>
      <c r="H94" s="210"/>
      <c r="I94" s="210"/>
      <c r="J94" s="210"/>
      <c r="K94" s="210"/>
      <c r="L94" s="210"/>
      <c r="M94" s="210">
        <v>-23407</v>
      </c>
      <c r="N94" s="210">
        <v>362905</v>
      </c>
      <c r="O94" s="210">
        <v>-352658</v>
      </c>
      <c r="P94" s="210">
        <v>-8286</v>
      </c>
      <c r="Q94" s="210">
        <v>18759</v>
      </c>
      <c r="R94" s="54">
        <f>IFERROR((Q94/N94)^(1/COUNT($G$4:$Q$4))-1,"")</f>
        <v>-0.23609758204350595</v>
      </c>
    </row>
    <row r="95" spans="1:18">
      <c r="B95" s="76" t="s">
        <v>512</v>
      </c>
    </row>
    <row r="96" spans="1:18" ht="15.75">
      <c r="A96" t="s">
        <v>349</v>
      </c>
      <c r="B96" s="198" t="s">
        <v>513</v>
      </c>
      <c r="C96" s="47"/>
      <c r="D96" s="47"/>
      <c r="E96" s="47"/>
      <c r="F96" s="47"/>
      <c r="G96" s="464">
        <v>42004</v>
      </c>
      <c r="H96" s="464">
        <v>42369</v>
      </c>
      <c r="I96" s="464">
        <v>42735</v>
      </c>
      <c r="J96" s="464">
        <v>43100</v>
      </c>
      <c r="K96" s="464">
        <v>43465</v>
      </c>
      <c r="L96" s="464">
        <v>43830</v>
      </c>
      <c r="M96" s="464">
        <v>44196</v>
      </c>
      <c r="N96" s="464">
        <v>44561</v>
      </c>
      <c r="O96" s="464">
        <v>44926</v>
      </c>
      <c r="P96" s="464">
        <v>45291</v>
      </c>
      <c r="Q96" s="464">
        <v>45657</v>
      </c>
      <c r="R96" s="18"/>
    </row>
    <row r="97" spans="1:18" ht="3.95" customHeight="1">
      <c r="B97" s="205"/>
      <c r="C97" s="205"/>
      <c r="D97" s="205"/>
      <c r="E97" s="205"/>
      <c r="F97" s="205"/>
      <c r="G97" s="206"/>
      <c r="H97" s="206"/>
      <c r="I97" s="206"/>
      <c r="J97" s="206"/>
      <c r="K97" s="206"/>
      <c r="L97" s="206"/>
      <c r="M97" s="206"/>
      <c r="N97" s="206"/>
      <c r="O97" s="206"/>
      <c r="P97" s="206"/>
      <c r="Q97" s="206"/>
      <c r="R97" s="18"/>
    </row>
    <row r="98" spans="1:18">
      <c r="B98" t="s">
        <v>514</v>
      </c>
      <c r="G98" s="235" t="e" cm="1" vm="5">
        <f t="array" aca="1" ref="G98" ca="1">(IFERROR(_xlfn.STOCKHISTORY(DCF!$AA$4, G96, G96, 0, 0, 1), IFERROR(_xlfn.STOCKHISTORY(DCF!$AA$4, G96+1, G96+1, 0, 0, 1), _xlfn.STOCKHISTORY(DCF!$AA$4, G96-2, G96-2, 0, 0, 1))))*_xlfn.XLOOKUP("Basic Weighted Average Shares",$B:$B,G:G)</f>
        <v>#VALUE!</v>
      </c>
      <c r="H98" s="235" t="e" cm="1" vm="5">
        <f t="array" aca="1" ref="H98" ca="1">(IFERROR(_xlfn.STOCKHISTORY(DCF!$AA$4, H96, H96, 0, 0, 1), IFERROR(_xlfn.STOCKHISTORY(DCF!$AA$4, H96+1, H96+1, 0, 0, 1), _xlfn.STOCKHISTORY(DCF!$AA$4, H96-2, H96-2, 0, 0, 1))))*_xlfn.XLOOKUP("Basic Weighted Average Shares",$B:$B,H:H)</f>
        <v>#VALUE!</v>
      </c>
      <c r="I98" s="235" t="e" cm="1" vm="5">
        <f t="array" aca="1" ref="I98" ca="1">(IFERROR(_xlfn.STOCKHISTORY(DCF!$AA$4, I96, I96, 0, 0, 1), IFERROR(_xlfn.STOCKHISTORY(DCF!$AA$4, I96+1, I96+1, 0, 0, 1), _xlfn.STOCKHISTORY(DCF!$AA$4, I96-2, I96-2, 0, 0, 1))))*_xlfn.XLOOKUP("Basic Weighted Average Shares",$B:$B,I:I)</f>
        <v>#VALUE!</v>
      </c>
      <c r="J98" s="235" t="e" cm="1" vm="5">
        <f t="array" aca="1" ref="J98" ca="1">(IFERROR(_xlfn.STOCKHISTORY(DCF!$AA$4, J96, J96, 0, 0, 1), IFERROR(_xlfn.STOCKHISTORY(DCF!$AA$4, J96+1, J96+1, 0, 0, 1), _xlfn.STOCKHISTORY(DCF!$AA$4, J96-2, J96-2, 0, 0, 1))))*_xlfn.XLOOKUP("Basic Weighted Average Shares",$B:$B,J:J)</f>
        <v>#VALUE!</v>
      </c>
      <c r="K98" s="235" t="e" cm="1" vm="5">
        <f t="array" aca="1" ref="K98" ca="1">(IFERROR(_xlfn.STOCKHISTORY(DCF!$AA$4, K96, K96, 0, 0, 1), IFERROR(_xlfn.STOCKHISTORY(DCF!$AA$4, K96+1, K96+1, 0, 0, 1), _xlfn.STOCKHISTORY(DCF!$AA$4, K96-2, K96-2, 0, 0, 1))))*_xlfn.XLOOKUP("Basic Weighted Average Shares",$B:$B,K:K)</f>
        <v>#VALUE!</v>
      </c>
      <c r="L98" s="235" t="e" cm="1" vm="5">
        <f t="array" aca="1" ref="L98" ca="1">(IFERROR(_xlfn.STOCKHISTORY(DCF!$AA$4, L96, L96, 0, 0, 1), IFERROR(_xlfn.STOCKHISTORY(DCF!$AA$4, L96+1, L96+1, 0, 0, 1), _xlfn.STOCKHISTORY(DCF!$AA$4, L96-2, L96-2, 0, 0, 1))))*_xlfn.XLOOKUP("Basic Weighted Average Shares",$B:$B,L:L)</f>
        <v>#VALUE!</v>
      </c>
      <c r="M98" s="235" t="e" cm="1" vm="5">
        <f t="array" aca="1" ref="M98" ca="1">(IFERROR(_xlfn.STOCKHISTORY(DCF!$AA$4, M96, M96, 0, 0, 1), IFERROR(_xlfn.STOCKHISTORY(DCF!$AA$4, M96+1, M96+1, 0, 0, 1), _xlfn.STOCKHISTORY(DCF!$AA$4, M96-2, M96-2, 0, 0, 1))))*_xlfn.XLOOKUP("Basic Weighted Average Shares",$B:$B,M:M)</f>
        <v>#VALUE!</v>
      </c>
      <c r="N98" s="235" cm="1">
        <f t="array" aca="1" ref="N98" ca="1">(IFERROR(_xlfn.STOCKHISTORY(DCF!$AA$4, N96, N96, 0, 0, 1), IFERROR(_xlfn.STOCKHISTORY(DCF!$AA$4, N96+1, N96+1, 0, 0, 1), _xlfn.STOCKHISTORY(DCF!$AA$4, N96-2, N96-2, 0, 0, 1))))*_xlfn.XLOOKUP("Basic Weighted Average Shares",$B:$B,N:N)</f>
        <v>2298080.3199999998</v>
      </c>
      <c r="O98" s="235" cm="1">
        <f t="array" aca="1" ref="O98" ca="1">(IFERROR(_xlfn.STOCKHISTORY(DCF!$AA$4, O96, O96, 0, 0, 1), IFERROR(_xlfn.STOCKHISTORY(DCF!$AA$4, O96+1, O96+1, 0, 0, 1), _xlfn.STOCKHISTORY(DCF!$AA$4, O96-2, O96-2, 0, 0, 1))))*_xlfn.XLOOKUP("Basic Weighted Average Shares",$B:$B,O:O)</f>
        <v>699955.70400000003</v>
      </c>
      <c r="P98" s="235" cm="1">
        <f t="array" aca="1" ref="P98" ca="1">(IFERROR(_xlfn.STOCKHISTORY(DCF!$AA$4, P96, P96, 0, 0, 1), IFERROR(_xlfn.STOCKHISTORY(DCF!$AA$4, P96+1, P96+1, 0, 0, 1), _xlfn.STOCKHISTORY(DCF!$AA$4, P96-2, P96-2, 0, 0, 1))))*_xlfn.XLOOKUP("Basic Weighted Average Shares",$B:$B,P:P)</f>
        <v>2509922.835</v>
      </c>
      <c r="Q98" s="235" cm="1">
        <f t="array" aca="1" ref="Q98" ca="1">(IFERROR(_xlfn.STOCKHISTORY(DCF!$AA$4, Q96, Q96, 0, 0, 1), IFERROR(_xlfn.STOCKHISTORY(DCF!$AA$4, Q96+1, Q96+1, 0, 0, 1), _xlfn.STOCKHISTORY(DCF!$AA$4, Q96-2, Q96-2, 0, 0, 1))))*_xlfn.XLOOKUP("Basic Weighted Average Shares",$B:$B,Q:Q)</f>
        <v>8898238.0380000006</v>
      </c>
    </row>
    <row r="99" spans="1:18">
      <c r="B99" t="s">
        <v>268</v>
      </c>
      <c r="G99" s="235">
        <f t="shared" ref="G99:Q99" si="44">_xlfn.XLOOKUP("Cash &amp; Cash Equivalents &amp; ST Investments",$B$30:$B$62,G$30:G$62)</f>
        <v>0</v>
      </c>
      <c r="H99" s="235">
        <f t="shared" si="44"/>
        <v>0</v>
      </c>
      <c r="I99" s="235">
        <f t="shared" si="44"/>
        <v>0</v>
      </c>
      <c r="J99" s="235">
        <f t="shared" si="44"/>
        <v>0</v>
      </c>
      <c r="K99" s="235">
        <f t="shared" si="44"/>
        <v>0</v>
      </c>
      <c r="L99" s="235">
        <f t="shared" si="44"/>
        <v>0</v>
      </c>
      <c r="M99" s="235">
        <f t="shared" si="44"/>
        <v>36120</v>
      </c>
      <c r="N99" s="235">
        <f t="shared" si="44"/>
        <v>522468</v>
      </c>
      <c r="O99" s="235">
        <f t="shared" si="44"/>
        <v>355797</v>
      </c>
      <c r="P99" s="235">
        <f t="shared" si="44"/>
        <v>355441</v>
      </c>
      <c r="Q99" s="235">
        <f t="shared" si="44"/>
        <v>340289</v>
      </c>
    </row>
    <row r="100" spans="1:18">
      <c r="B100" t="s">
        <v>278</v>
      </c>
      <c r="G100" s="235">
        <f t="shared" ref="G100:Q100" si="45">(_xlfn.XLOOKUP("Short-Term Debt",$B$30:$B$62,G$30:G$62)+_xlfn.XLOOKUP("Long-Term Debt",$B$30:$B$62,G$30:G$62))</f>
        <v>0</v>
      </c>
      <c r="H100" s="235">
        <f t="shared" si="45"/>
        <v>0</v>
      </c>
      <c r="I100" s="235">
        <f t="shared" si="45"/>
        <v>0</v>
      </c>
      <c r="J100" s="235">
        <f t="shared" si="45"/>
        <v>0</v>
      </c>
      <c r="K100" s="235">
        <f t="shared" si="45"/>
        <v>0</v>
      </c>
      <c r="L100" s="235">
        <f t="shared" si="45"/>
        <v>0</v>
      </c>
      <c r="M100" s="235">
        <f t="shared" si="45"/>
        <v>4271</v>
      </c>
      <c r="N100" s="235">
        <f t="shared" si="45"/>
        <v>4211</v>
      </c>
      <c r="O100" s="235">
        <f t="shared" si="45"/>
        <v>4050</v>
      </c>
      <c r="P100" s="235">
        <f t="shared" si="45"/>
        <v>8105</v>
      </c>
      <c r="Q100" s="235">
        <f t="shared" si="45"/>
        <v>17725</v>
      </c>
    </row>
    <row r="101" spans="1:18">
      <c r="B101" t="s">
        <v>515</v>
      </c>
      <c r="G101" s="806"/>
      <c r="H101" s="806"/>
      <c r="I101" s="806"/>
      <c r="J101" s="806"/>
      <c r="K101" s="806"/>
      <c r="L101" s="806"/>
      <c r="M101" s="806"/>
      <c r="N101" s="806"/>
      <c r="O101" s="806"/>
      <c r="P101" s="806"/>
      <c r="Q101" s="806"/>
    </row>
    <row r="102" spans="1:18">
      <c r="B102" t="s">
        <v>501</v>
      </c>
      <c r="G102" s="235">
        <f t="shared" ref="G102:Q102" si="46">_xlfn.XLOOKUP("Non-Controlling Interest",$B$30:$B$62,G$30:G$62)</f>
        <v>0</v>
      </c>
      <c r="H102" s="235">
        <f t="shared" si="46"/>
        <v>0</v>
      </c>
      <c r="I102" s="235">
        <f t="shared" si="46"/>
        <v>0</v>
      </c>
      <c r="J102" s="235">
        <f t="shared" si="46"/>
        <v>0</v>
      </c>
      <c r="K102" s="235">
        <f t="shared" si="46"/>
        <v>0</v>
      </c>
      <c r="L102" s="235">
        <f t="shared" si="46"/>
        <v>0</v>
      </c>
      <c r="M102" s="235">
        <f t="shared" si="46"/>
        <v>0</v>
      </c>
      <c r="N102" s="235">
        <f t="shared" si="46"/>
        <v>0</v>
      </c>
      <c r="O102" s="235">
        <f t="shared" si="46"/>
        <v>0</v>
      </c>
      <c r="P102" s="235">
        <f t="shared" si="46"/>
        <v>0</v>
      </c>
      <c r="Q102" s="235">
        <f t="shared" si="46"/>
        <v>0</v>
      </c>
    </row>
    <row r="103" spans="1:18">
      <c r="B103" t="s">
        <v>445</v>
      </c>
      <c r="G103" s="218" t="e" vm="6">
        <f t="shared" ref="G103:M103" ca="1" si="47">+G98-G99+G100+G101+G102</f>
        <v>#VALUE!</v>
      </c>
      <c r="H103" s="218" t="e" vm="6">
        <f t="shared" ca="1" si="47"/>
        <v>#VALUE!</v>
      </c>
      <c r="I103" s="218" t="e" vm="6">
        <f t="shared" ca="1" si="47"/>
        <v>#VALUE!</v>
      </c>
      <c r="J103" s="218" t="e" vm="6">
        <f t="shared" ca="1" si="47"/>
        <v>#VALUE!</v>
      </c>
      <c r="K103" s="218" t="e" vm="6">
        <f t="shared" ca="1" si="47"/>
        <v>#VALUE!</v>
      </c>
      <c r="L103" s="218" t="e" vm="6">
        <f t="shared" ca="1" si="47"/>
        <v>#VALUE!</v>
      </c>
      <c r="M103" s="218" t="e" vm="6">
        <f t="shared" ca="1" si="47"/>
        <v>#VALUE!</v>
      </c>
      <c r="N103" s="218">
        <f ca="1">+N98-N99+N100+N101+N102</f>
        <v>1779823.3199999998</v>
      </c>
      <c r="O103" s="218">
        <f t="shared" ref="O103:Q103" ca="1" si="48">+O98-O99+O100+O101+O102</f>
        <v>348208.70400000003</v>
      </c>
      <c r="P103" s="218">
        <f t="shared" ca="1" si="48"/>
        <v>2162586.835</v>
      </c>
      <c r="Q103" s="218">
        <f t="shared" ca="1" si="48"/>
        <v>8575674.0380000006</v>
      </c>
    </row>
    <row r="104" spans="1:18" ht="5.25" customHeight="1"/>
    <row r="105" spans="1:18" ht="15.75">
      <c r="A105" t="s">
        <v>349</v>
      </c>
      <c r="B105" s="43" t="s">
        <v>90</v>
      </c>
      <c r="C105" s="47"/>
      <c r="D105" s="47"/>
      <c r="E105" s="47"/>
      <c r="F105" s="47"/>
      <c r="G105" s="219" t="s">
        <v>516</v>
      </c>
      <c r="H105" s="199">
        <v>2025</v>
      </c>
      <c r="I105" s="199">
        <f>+H105+1</f>
        <v>2026</v>
      </c>
      <c r="J105" s="199">
        <f t="shared" ref="J105:Q105" si="49">+I105+1</f>
        <v>2027</v>
      </c>
      <c r="K105" s="199">
        <f t="shared" si="49"/>
        <v>2028</v>
      </c>
      <c r="L105" s="199">
        <f t="shared" si="49"/>
        <v>2029</v>
      </c>
      <c r="M105" s="199">
        <f t="shared" si="49"/>
        <v>2030</v>
      </c>
      <c r="N105" s="199">
        <f t="shared" si="49"/>
        <v>2031</v>
      </c>
      <c r="O105" s="199">
        <f t="shared" si="49"/>
        <v>2032</v>
      </c>
      <c r="P105" s="199">
        <f t="shared" si="49"/>
        <v>2033</v>
      </c>
      <c r="Q105" s="696">
        <f t="shared" si="49"/>
        <v>2034</v>
      </c>
    </row>
    <row r="106" spans="1:18" ht="3.95" customHeight="1">
      <c r="B106" s="205"/>
      <c r="C106" s="205"/>
      <c r="D106" s="205"/>
      <c r="E106" s="205"/>
      <c r="F106" s="205"/>
      <c r="G106" s="206"/>
      <c r="H106" s="206"/>
      <c r="I106" s="206"/>
      <c r="J106" s="206"/>
      <c r="K106" s="206"/>
      <c r="L106" s="206"/>
      <c r="M106" s="206"/>
      <c r="N106" s="206"/>
      <c r="O106" s="206"/>
      <c r="P106" s="206"/>
      <c r="Q106" s="206"/>
    </row>
    <row r="107" spans="1:18">
      <c r="B107" t="s">
        <v>517</v>
      </c>
      <c r="G107"/>
      <c r="H107" s="217">
        <v>0</v>
      </c>
      <c r="I107" s="217">
        <v>0</v>
      </c>
      <c r="J107" s="217">
        <v>0</v>
      </c>
      <c r="K107" s="217">
        <v>0</v>
      </c>
      <c r="L107" s="217">
        <v>0</v>
      </c>
      <c r="M107" s="217">
        <v>0</v>
      </c>
      <c r="N107" s="217">
        <v>0</v>
      </c>
      <c r="O107" s="217">
        <v>0</v>
      </c>
      <c r="P107" s="217">
        <v>0</v>
      </c>
      <c r="Q107" s="217">
        <v>0</v>
      </c>
    </row>
    <row r="108" spans="1:18">
      <c r="B108" t="s">
        <v>518</v>
      </c>
      <c r="G108"/>
      <c r="H108" s="217">
        <v>0</v>
      </c>
      <c r="I108" s="217">
        <v>0</v>
      </c>
      <c r="J108" s="217">
        <v>0</v>
      </c>
      <c r="K108" s="217">
        <v>0</v>
      </c>
      <c r="L108" s="217">
        <v>0</v>
      </c>
      <c r="M108" s="217">
        <v>0</v>
      </c>
      <c r="N108" s="217">
        <v>0</v>
      </c>
      <c r="O108" s="217">
        <v>0</v>
      </c>
      <c r="P108" s="217">
        <v>0</v>
      </c>
      <c r="Q108" s="217">
        <v>0</v>
      </c>
    </row>
    <row r="109" spans="1:18" ht="3.75" customHeight="1"/>
    <row r="110" spans="1:18" ht="15.75">
      <c r="A110" t="s">
        <v>349</v>
      </c>
      <c r="B110" s="43" t="s">
        <v>519</v>
      </c>
      <c r="C110" s="47"/>
      <c r="D110" s="47"/>
      <c r="E110" s="47"/>
      <c r="F110" s="47"/>
      <c r="G110" s="199">
        <v>2014</v>
      </c>
      <c r="H110" s="199">
        <f>+G110+1</f>
        <v>2015</v>
      </c>
      <c r="I110" s="199">
        <f t="shared" ref="I110" si="50">+H110+1</f>
        <v>2016</v>
      </c>
      <c r="J110" s="199">
        <f t="shared" ref="J110" si="51">+I110+1</f>
        <v>2017</v>
      </c>
      <c r="K110" s="199">
        <f t="shared" ref="K110" si="52">+J110+1</f>
        <v>2018</v>
      </c>
      <c r="L110" s="199">
        <f t="shared" ref="L110" si="53">+K110+1</f>
        <v>2019</v>
      </c>
      <c r="M110" s="199">
        <f t="shared" ref="M110" si="54">+L110+1</f>
        <v>2020</v>
      </c>
      <c r="N110" s="199">
        <f>+M110+1</f>
        <v>2021</v>
      </c>
      <c r="O110" s="199">
        <f>+N110+1</f>
        <v>2022</v>
      </c>
      <c r="P110" s="199">
        <f t="shared" ref="P110" si="55">+O110+1</f>
        <v>2023</v>
      </c>
      <c r="Q110" s="199">
        <f>+P110+1</f>
        <v>2024</v>
      </c>
      <c r="R110" s="49" t="str">
        <f>"CAGR "&amp;$N$4&amp;" - "&amp;$Q$4</f>
        <v>CAGR 2021 - 2024</v>
      </c>
    </row>
    <row r="111" spans="1:18" ht="5.25" customHeight="1">
      <c r="B111" s="205"/>
      <c r="C111" s="205"/>
      <c r="D111" s="205"/>
      <c r="E111" s="205"/>
      <c r="F111" s="205"/>
      <c r="G111" s="206"/>
      <c r="H111" s="206"/>
      <c r="I111" s="206"/>
      <c r="J111" s="206"/>
      <c r="K111" s="206"/>
      <c r="L111" s="206"/>
      <c r="M111" s="206"/>
      <c r="N111" s="206"/>
      <c r="O111" s="206"/>
      <c r="P111" s="206"/>
      <c r="Q111" s="206"/>
      <c r="R111" s="50"/>
    </row>
    <row r="112" spans="1:18">
      <c r="B112" t="s">
        <v>278</v>
      </c>
      <c r="G112" s="216">
        <f t="shared" ref="G112:Q112" si="56">IFERROR(SUM(G55+G50),"")</f>
        <v>0</v>
      </c>
      <c r="H112" s="216">
        <f t="shared" si="56"/>
        <v>0</v>
      </c>
      <c r="I112" s="216">
        <f t="shared" si="56"/>
        <v>0</v>
      </c>
      <c r="J112" s="216">
        <f t="shared" si="56"/>
        <v>0</v>
      </c>
      <c r="K112" s="216">
        <f t="shared" si="56"/>
        <v>0</v>
      </c>
      <c r="L112" s="216">
        <f t="shared" si="56"/>
        <v>0</v>
      </c>
      <c r="M112" s="216">
        <f t="shared" si="56"/>
        <v>4271</v>
      </c>
      <c r="N112" s="216">
        <f t="shared" si="56"/>
        <v>4211</v>
      </c>
      <c r="O112" s="216">
        <f t="shared" si="56"/>
        <v>4050</v>
      </c>
      <c r="P112" s="216">
        <f t="shared" si="56"/>
        <v>8105</v>
      </c>
      <c r="Q112" s="216">
        <f t="shared" si="56"/>
        <v>17725</v>
      </c>
      <c r="R112" s="646">
        <f t="shared" ref="R112:R120" si="57">IFERROR((Q112/N112)^(1/COUNT($G$4:$Q$4))-1,"")</f>
        <v>0.1395819077691296</v>
      </c>
    </row>
    <row r="113" spans="2:18">
      <c r="B113" t="s">
        <v>414</v>
      </c>
      <c r="G113" s="216">
        <f t="shared" ref="G113:Q113" si="58">IFERROR(SUM(G51,G56),"")</f>
        <v>0</v>
      </c>
      <c r="H113" s="216">
        <f t="shared" si="58"/>
        <v>0</v>
      </c>
      <c r="I113" s="216">
        <f t="shared" si="58"/>
        <v>0</v>
      </c>
      <c r="J113" s="216">
        <f t="shared" si="58"/>
        <v>0</v>
      </c>
      <c r="K113" s="216">
        <f t="shared" si="58"/>
        <v>0</v>
      </c>
      <c r="L113" s="216">
        <f t="shared" si="58"/>
        <v>0</v>
      </c>
      <c r="M113" s="216">
        <f t="shared" si="58"/>
        <v>0</v>
      </c>
      <c r="N113" s="216">
        <f t="shared" si="58"/>
        <v>0</v>
      </c>
      <c r="O113" s="216">
        <f t="shared" si="58"/>
        <v>0</v>
      </c>
      <c r="P113" s="216">
        <f t="shared" si="58"/>
        <v>0</v>
      </c>
      <c r="Q113" s="216">
        <f t="shared" si="58"/>
        <v>0</v>
      </c>
      <c r="R113" s="646" t="str">
        <f t="shared" si="57"/>
        <v/>
      </c>
    </row>
    <row r="114" spans="2:18">
      <c r="B114" t="s">
        <v>415</v>
      </c>
      <c r="G114" s="216">
        <f t="shared" ref="G114:Q114" si="59">IFERROR(SUM(G52,G57),"")</f>
        <v>0</v>
      </c>
      <c r="H114" s="216">
        <f t="shared" si="59"/>
        <v>0</v>
      </c>
      <c r="I114" s="216">
        <f t="shared" si="59"/>
        <v>0</v>
      </c>
      <c r="J114" s="216">
        <f t="shared" si="59"/>
        <v>0</v>
      </c>
      <c r="K114" s="216">
        <f t="shared" si="59"/>
        <v>0</v>
      </c>
      <c r="L114" s="216">
        <f t="shared" si="59"/>
        <v>0</v>
      </c>
      <c r="M114" s="216">
        <f t="shared" si="59"/>
        <v>4271</v>
      </c>
      <c r="N114" s="216">
        <f t="shared" si="59"/>
        <v>4211</v>
      </c>
      <c r="O114" s="216">
        <f t="shared" si="59"/>
        <v>4050</v>
      </c>
      <c r="P114" s="216">
        <f t="shared" si="59"/>
        <v>8105</v>
      </c>
      <c r="Q114" s="216">
        <f t="shared" si="59"/>
        <v>17725</v>
      </c>
      <c r="R114" s="646">
        <f t="shared" si="57"/>
        <v>0.1395819077691296</v>
      </c>
    </row>
    <row r="115" spans="2:18">
      <c r="B115" t="s">
        <v>520</v>
      </c>
      <c r="G115" s="216">
        <f t="shared" ref="G115:Q115" si="60">+G112-G32</f>
        <v>0</v>
      </c>
      <c r="H115" s="216">
        <f t="shared" si="60"/>
        <v>0</v>
      </c>
      <c r="I115" s="216">
        <f t="shared" si="60"/>
        <v>0</v>
      </c>
      <c r="J115" s="216">
        <f t="shared" si="60"/>
        <v>0</v>
      </c>
      <c r="K115" s="216">
        <f t="shared" si="60"/>
        <v>0</v>
      </c>
      <c r="L115" s="216">
        <f t="shared" si="60"/>
        <v>0</v>
      </c>
      <c r="M115" s="216">
        <f t="shared" si="60"/>
        <v>-31849</v>
      </c>
      <c r="N115" s="216">
        <f t="shared" si="60"/>
        <v>-518257</v>
      </c>
      <c r="O115" s="216">
        <f t="shared" si="60"/>
        <v>-351747</v>
      </c>
      <c r="P115" s="216">
        <f t="shared" si="60"/>
        <v>-347336</v>
      </c>
      <c r="Q115" s="216">
        <f t="shared" si="60"/>
        <v>-322564</v>
      </c>
      <c r="R115" s="646">
        <f t="shared" si="57"/>
        <v>-4.2190464639918046E-2</v>
      </c>
    </row>
    <row r="116" spans="2:18">
      <c r="B116" t="s">
        <v>521</v>
      </c>
      <c r="G116" s="230" t="str">
        <f t="shared" ref="G116:Q116" si="61">IFERROR(G23/G22,"")</f>
        <v/>
      </c>
      <c r="H116" s="230" t="str">
        <f t="shared" si="61"/>
        <v/>
      </c>
      <c r="I116" s="230" t="str">
        <f t="shared" si="61"/>
        <v/>
      </c>
      <c r="J116" s="230" t="str">
        <f t="shared" si="61"/>
        <v/>
      </c>
      <c r="K116" s="230" t="str">
        <f t="shared" si="61"/>
        <v/>
      </c>
      <c r="L116" s="230" t="str">
        <f t="shared" si="61"/>
        <v/>
      </c>
      <c r="M116" s="230">
        <f t="shared" si="61"/>
        <v>0</v>
      </c>
      <c r="N116" s="230">
        <f t="shared" si="61"/>
        <v>0</v>
      </c>
      <c r="O116" s="230">
        <f t="shared" si="61"/>
        <v>0</v>
      </c>
      <c r="P116" s="230">
        <f t="shared" si="61"/>
        <v>-3.0433101069596699E-7</v>
      </c>
      <c r="Q116" s="230">
        <f t="shared" si="61"/>
        <v>-1.7793165012002847E-7</v>
      </c>
      <c r="R116" s="646" t="str">
        <f t="shared" si="57"/>
        <v/>
      </c>
    </row>
    <row r="117" spans="2:18">
      <c r="B117" t="s">
        <v>358</v>
      </c>
      <c r="G117" s="235" t="str">
        <f t="shared" ref="G117:Q117" si="62">IFERROR(G16*(1-G116),"")</f>
        <v/>
      </c>
      <c r="H117" s="235" t="str">
        <f t="shared" si="62"/>
        <v/>
      </c>
      <c r="I117" s="235" t="str">
        <f t="shared" si="62"/>
        <v/>
      </c>
      <c r="J117" s="235" t="str">
        <f t="shared" si="62"/>
        <v/>
      </c>
      <c r="K117" s="235" t="str">
        <f t="shared" si="62"/>
        <v/>
      </c>
      <c r="L117" s="235" t="str">
        <f t="shared" si="62"/>
        <v/>
      </c>
      <c r="M117" s="235">
        <f t="shared" si="62"/>
        <v>-15733</v>
      </c>
      <c r="N117" s="235">
        <f t="shared" si="62"/>
        <v>-38687</v>
      </c>
      <c r="O117" s="235">
        <f t="shared" si="62"/>
        <v>-85746</v>
      </c>
      <c r="P117" s="235">
        <f t="shared" si="62"/>
        <v>-157754.04800943425</v>
      </c>
      <c r="Q117" s="235">
        <f t="shared" si="62"/>
        <v>-232455.04136110173</v>
      </c>
      <c r="R117" s="646">
        <f t="shared" si="57"/>
        <v>0.17705736393619365</v>
      </c>
    </row>
    <row r="118" spans="2:18">
      <c r="B118" t="s">
        <v>400</v>
      </c>
      <c r="G118" s="465" t="str">
        <f>IFERROR(G35/G6*365,"")</f>
        <v/>
      </c>
      <c r="H118" s="465" t="str">
        <f t="shared" ref="H118:Q118" si="63">IFERROR(H35/H6*365,"")</f>
        <v/>
      </c>
      <c r="I118" s="465" t="str">
        <f t="shared" si="63"/>
        <v/>
      </c>
      <c r="J118" s="465" t="str">
        <f t="shared" si="63"/>
        <v/>
      </c>
      <c r="K118" s="465" t="str">
        <f t="shared" si="63"/>
        <v/>
      </c>
      <c r="L118" s="465" t="str">
        <f t="shared" si="63"/>
        <v/>
      </c>
      <c r="M118" s="465" t="str">
        <f t="shared" si="63"/>
        <v/>
      </c>
      <c r="N118" s="465">
        <f>IFERROR(N35/N6*365,"")</f>
        <v>122.94187708432587</v>
      </c>
      <c r="O118" s="465">
        <f t="shared" si="63"/>
        <v>107.94897134129907</v>
      </c>
      <c r="P118" s="465">
        <f t="shared" si="63"/>
        <v>189.88544596679066</v>
      </c>
      <c r="Q118" s="465">
        <f t="shared" si="63"/>
        <v>55.216492930606186</v>
      </c>
      <c r="R118" s="646">
        <f t="shared" si="57"/>
        <v>-7.0183647129360205E-2</v>
      </c>
    </row>
    <row r="119" spans="2:18">
      <c r="B119" t="s">
        <v>402</v>
      </c>
      <c r="G119" s="465" t="str">
        <f>IFERROR(G36/G7*365,"")</f>
        <v/>
      </c>
      <c r="H119" s="465" t="str">
        <f t="shared" ref="H119:Q119" si="64">IFERROR(H36/H7*365,"")</f>
        <v/>
      </c>
      <c r="I119" s="465" t="str">
        <f t="shared" si="64"/>
        <v/>
      </c>
      <c r="J119" s="465" t="str">
        <f t="shared" si="64"/>
        <v/>
      </c>
      <c r="K119" s="465" t="str">
        <f t="shared" si="64"/>
        <v/>
      </c>
      <c r="L119" s="465" t="str">
        <f t="shared" si="64"/>
        <v/>
      </c>
      <c r="M119" s="465">
        <f t="shared" si="64"/>
        <v>0</v>
      </c>
      <c r="N119" s="465">
        <f>IFERROR(N36/N7*365,"")</f>
        <v>0</v>
      </c>
      <c r="O119" s="465">
        <f t="shared" si="64"/>
        <v>0</v>
      </c>
      <c r="P119" s="465">
        <f t="shared" si="64"/>
        <v>0</v>
      </c>
      <c r="Q119" s="465">
        <f t="shared" si="64"/>
        <v>0</v>
      </c>
      <c r="R119" s="646" t="str">
        <f t="shared" si="57"/>
        <v/>
      </c>
    </row>
    <row r="120" spans="2:18">
      <c r="B120" t="s">
        <v>412</v>
      </c>
      <c r="G120" s="465" t="str">
        <f>IFERROR(G49/G6*365,"")</f>
        <v/>
      </c>
      <c r="H120" s="465" t="str">
        <f t="shared" ref="H120:Q120" si="65">IFERROR(H49/H6*365,"")</f>
        <v/>
      </c>
      <c r="I120" s="465" t="str">
        <f t="shared" si="65"/>
        <v/>
      </c>
      <c r="J120" s="465" t="str">
        <f t="shared" si="65"/>
        <v/>
      </c>
      <c r="K120" s="465" t="str">
        <f t="shared" si="65"/>
        <v/>
      </c>
      <c r="L120" s="465" t="str">
        <f t="shared" si="65"/>
        <v/>
      </c>
      <c r="M120" s="465" t="str">
        <f t="shared" si="65"/>
        <v/>
      </c>
      <c r="N120" s="465">
        <f t="shared" si="65"/>
        <v>327.26536445926632</v>
      </c>
      <c r="O120" s="465">
        <f t="shared" si="65"/>
        <v>100.17743239601113</v>
      </c>
      <c r="P120" s="465">
        <f t="shared" si="65"/>
        <v>92.715497686235366</v>
      </c>
      <c r="Q120" s="465">
        <f t="shared" si="65"/>
        <v>44.318946904093046</v>
      </c>
      <c r="R120" s="646">
        <f t="shared" si="57"/>
        <v>-0.16619850098163091</v>
      </c>
    </row>
    <row r="123" spans="2:18">
      <c r="O123"/>
    </row>
    <row r="124" spans="2:18">
      <c r="C124" s="563"/>
    </row>
    <row r="125" spans="2:18">
      <c r="C125" s="563"/>
    </row>
    <row r="126" spans="2:18">
      <c r="C126" s="563"/>
    </row>
    <row r="127" spans="2:18">
      <c r="C127" s="563"/>
    </row>
    <row r="128" spans="2:18">
      <c r="C128" s="563"/>
    </row>
    <row r="129" spans="3:3">
      <c r="C129" s="563"/>
    </row>
    <row r="130" spans="3:3">
      <c r="C130" s="563"/>
    </row>
    <row r="131" spans="3:3">
      <c r="C131" s="563"/>
    </row>
    <row r="132" spans="3:3">
      <c r="C132" s="563"/>
    </row>
    <row r="133" spans="3:3">
      <c r="C133" s="563"/>
    </row>
    <row r="134" spans="3:3">
      <c r="C134" s="563"/>
    </row>
    <row r="135" spans="3:3">
      <c r="C135" s="563"/>
    </row>
    <row r="136" spans="3:3">
      <c r="C136" s="563"/>
    </row>
    <row r="137" spans="3:3">
      <c r="C137" s="563"/>
    </row>
    <row r="138" spans="3:3">
      <c r="C138" s="563"/>
    </row>
    <row r="139" spans="3:3">
      <c r="C139" s="563"/>
    </row>
    <row r="140" spans="3:3">
      <c r="C140" s="563"/>
    </row>
    <row r="141" spans="3:3">
      <c r="C141" s="563"/>
    </row>
    <row r="142" spans="3:3">
      <c r="C142" s="563"/>
    </row>
    <row r="143" spans="3:3">
      <c r="C143" s="563"/>
    </row>
    <row r="144" spans="3:3">
      <c r="C144" s="563"/>
    </row>
    <row r="145" spans="3:3">
      <c r="C145" s="563"/>
    </row>
    <row r="146" spans="3:3">
      <c r="C146" s="563"/>
    </row>
    <row r="147" spans="3:3">
      <c r="C147" s="563"/>
    </row>
    <row r="148" spans="3:3">
      <c r="C148" s="563"/>
    </row>
    <row r="149" spans="3:3">
      <c r="C149" s="563"/>
    </row>
    <row r="150" spans="3:3">
      <c r="C150" s="563"/>
    </row>
    <row r="151" spans="3:3">
      <c r="C151" s="563"/>
    </row>
    <row r="152" spans="3:3">
      <c r="C152" s="563"/>
    </row>
    <row r="153" spans="3:3">
      <c r="C153" s="563"/>
    </row>
    <row r="154" spans="3:3">
      <c r="C154" s="563"/>
    </row>
    <row r="155" spans="3:3">
      <c r="C155" s="563"/>
    </row>
    <row r="156" spans="3:3">
      <c r="C156" s="563"/>
    </row>
    <row r="157" spans="3:3">
      <c r="C157" s="563"/>
    </row>
    <row r="158" spans="3:3">
      <c r="C158" s="563"/>
    </row>
    <row r="159" spans="3:3">
      <c r="C159" s="563"/>
    </row>
    <row r="160" spans="3:3">
      <c r="C160" s="563"/>
    </row>
    <row r="161" spans="3:3">
      <c r="C161" s="563"/>
    </row>
    <row r="162" spans="3:3">
      <c r="C162" s="563"/>
    </row>
    <row r="163" spans="3:3">
      <c r="C163" s="563"/>
    </row>
    <row r="164" spans="3:3">
      <c r="C164" s="563"/>
    </row>
    <row r="165" spans="3:3">
      <c r="C165" s="563"/>
    </row>
    <row r="166" spans="3:3">
      <c r="C166" s="563"/>
    </row>
    <row r="167" spans="3:3">
      <c r="C167" s="563"/>
    </row>
    <row r="168" spans="3:3">
      <c r="C168" s="563"/>
    </row>
    <row r="169" spans="3:3">
      <c r="C169" s="563"/>
    </row>
    <row r="170" spans="3:3">
      <c r="C170" s="563"/>
    </row>
    <row r="171" spans="3:3">
      <c r="C171" s="563"/>
    </row>
    <row r="172" spans="3:3">
      <c r="C172" s="563"/>
    </row>
    <row r="173" spans="3:3">
      <c r="C173" s="563"/>
    </row>
    <row r="174" spans="3:3">
      <c r="C174" s="563"/>
    </row>
    <row r="175" spans="3:3">
      <c r="C175" s="563"/>
    </row>
    <row r="176" spans="3:3">
      <c r="C176" s="563"/>
    </row>
    <row r="177" spans="3:3">
      <c r="C177" s="563"/>
    </row>
    <row r="178" spans="3:3">
      <c r="C178" s="563"/>
    </row>
    <row r="179" spans="3:3">
      <c r="C179" s="563"/>
    </row>
    <row r="180" spans="3:3">
      <c r="C180" s="563"/>
    </row>
    <row r="181" spans="3:3">
      <c r="C181" s="563"/>
    </row>
    <row r="182" spans="3:3">
      <c r="C182" s="563"/>
    </row>
    <row r="183" spans="3:3">
      <c r="C183" s="563"/>
    </row>
    <row r="184" spans="3:3">
      <c r="C184" s="563"/>
    </row>
    <row r="185" spans="3:3">
      <c r="C185" s="563"/>
    </row>
    <row r="186" spans="3:3">
      <c r="C186" s="563"/>
    </row>
    <row r="187" spans="3:3">
      <c r="C187" s="563"/>
    </row>
    <row r="188" spans="3:3">
      <c r="C188" s="563"/>
    </row>
    <row r="189" spans="3:3">
      <c r="C189" s="563"/>
    </row>
    <row r="190" spans="3:3">
      <c r="C190" s="563"/>
    </row>
    <row r="191" spans="3:3">
      <c r="C191" s="563"/>
    </row>
    <row r="192" spans="3:3">
      <c r="C192" s="563"/>
    </row>
    <row r="193" spans="3:3">
      <c r="C193" s="563"/>
    </row>
    <row r="194" spans="3:3">
      <c r="C194" s="563"/>
    </row>
    <row r="195" spans="3:3">
      <c r="C195" s="563"/>
    </row>
    <row r="196" spans="3:3">
      <c r="C196" s="563"/>
    </row>
    <row r="197" spans="3:3">
      <c r="C197" s="563"/>
    </row>
    <row r="198" spans="3:3">
      <c r="C198" s="563"/>
    </row>
    <row r="199" spans="3:3">
      <c r="C199" s="563"/>
    </row>
    <row r="200" spans="3:3">
      <c r="C200" s="563"/>
    </row>
    <row r="201" spans="3:3">
      <c r="C201" s="563"/>
    </row>
    <row r="202" spans="3:3">
      <c r="C202" s="563"/>
    </row>
    <row r="203" spans="3:3">
      <c r="C203" s="563"/>
    </row>
    <row r="204" spans="3:3">
      <c r="C204" s="563"/>
    </row>
    <row r="205" spans="3:3">
      <c r="C205" s="563"/>
    </row>
    <row r="206" spans="3:3">
      <c r="C206" s="563"/>
    </row>
    <row r="207" spans="3:3">
      <c r="C207" s="563"/>
    </row>
    <row r="208" spans="3:3">
      <c r="C208" s="563"/>
    </row>
    <row r="209" spans="3:3">
      <c r="C209" s="563"/>
    </row>
    <row r="210" spans="3:3">
      <c r="C210" s="563"/>
    </row>
    <row r="211" spans="3:3">
      <c r="C211" s="563"/>
    </row>
    <row r="212" spans="3:3">
      <c r="C212" s="563"/>
    </row>
    <row r="213" spans="3:3">
      <c r="C213" s="563"/>
    </row>
    <row r="214" spans="3:3">
      <c r="C214" s="563"/>
    </row>
    <row r="215" spans="3:3">
      <c r="C215" s="563"/>
    </row>
    <row r="216" spans="3:3">
      <c r="C216" s="563"/>
    </row>
    <row r="217" spans="3:3">
      <c r="C217" s="563"/>
    </row>
    <row r="218" spans="3:3">
      <c r="C218" s="563"/>
    </row>
    <row r="219" spans="3:3">
      <c r="C219" s="563"/>
    </row>
    <row r="220" spans="3:3">
      <c r="C220" s="563"/>
    </row>
    <row r="221" spans="3:3">
      <c r="C221" s="563"/>
    </row>
    <row r="222" spans="3:3">
      <c r="C222" s="563"/>
    </row>
    <row r="223" spans="3:3">
      <c r="C223" s="563"/>
    </row>
    <row r="224" spans="3:3">
      <c r="C224" s="563"/>
    </row>
    <row r="225" spans="3:3">
      <c r="C225" s="563"/>
    </row>
    <row r="226" spans="3:3">
      <c r="C226" s="563"/>
    </row>
    <row r="227" spans="3:3">
      <c r="C227" s="563"/>
    </row>
    <row r="228" spans="3:3">
      <c r="C228" s="563"/>
    </row>
    <row r="229" spans="3:3">
      <c r="C229" s="563"/>
    </row>
    <row r="230" spans="3:3">
      <c r="C230" s="563"/>
    </row>
    <row r="231" spans="3:3">
      <c r="C231" s="563"/>
    </row>
    <row r="232" spans="3:3">
      <c r="C232" s="563"/>
    </row>
    <row r="233" spans="3:3">
      <c r="C233" s="563"/>
    </row>
    <row r="234" spans="3:3">
      <c r="C234" s="563"/>
    </row>
    <row r="235" spans="3:3">
      <c r="C235" s="563"/>
    </row>
    <row r="236" spans="3:3">
      <c r="C236" s="563"/>
    </row>
    <row r="237" spans="3:3">
      <c r="C237" s="563"/>
    </row>
    <row r="238" spans="3:3">
      <c r="C238" s="563"/>
    </row>
    <row r="239" spans="3:3">
      <c r="C239" s="563"/>
    </row>
    <row r="240" spans="3:3">
      <c r="C240" s="563"/>
    </row>
    <row r="241" spans="3:3">
      <c r="C241" s="563"/>
    </row>
    <row r="242" spans="3:3">
      <c r="C242" s="563"/>
    </row>
    <row r="243" spans="3:3">
      <c r="C243" s="563"/>
    </row>
    <row r="244" spans="3:3">
      <c r="C244" s="563"/>
    </row>
    <row r="245" spans="3:3">
      <c r="C245" s="563"/>
    </row>
    <row r="246" spans="3:3">
      <c r="C246" s="563"/>
    </row>
    <row r="247" spans="3:3">
      <c r="C247" s="563"/>
    </row>
    <row r="248" spans="3:3">
      <c r="C248" s="563"/>
    </row>
    <row r="249" spans="3:3">
      <c r="C249" s="563"/>
    </row>
    <row r="250" spans="3:3">
      <c r="C250" s="563"/>
    </row>
    <row r="251" spans="3:3">
      <c r="C251" s="563"/>
    </row>
    <row r="252" spans="3:3">
      <c r="C252" s="563"/>
    </row>
    <row r="253" spans="3:3">
      <c r="C253" s="563"/>
    </row>
    <row r="254" spans="3:3">
      <c r="C254" s="563"/>
    </row>
    <row r="255" spans="3:3">
      <c r="C255" s="563"/>
    </row>
    <row r="256" spans="3:3">
      <c r="C256" s="563"/>
    </row>
    <row r="257" spans="3:3">
      <c r="C257" s="563"/>
    </row>
    <row r="258" spans="3:3">
      <c r="C258" s="563"/>
    </row>
    <row r="259" spans="3:3">
      <c r="C259" s="563"/>
    </row>
    <row r="260" spans="3:3">
      <c r="C260" s="563"/>
    </row>
    <row r="261" spans="3:3">
      <c r="C261" s="563"/>
    </row>
    <row r="262" spans="3:3">
      <c r="C262" s="563"/>
    </row>
    <row r="263" spans="3:3">
      <c r="C263" s="563"/>
    </row>
    <row r="264" spans="3:3">
      <c r="C264" s="563"/>
    </row>
    <row r="265" spans="3:3">
      <c r="C265" s="563"/>
    </row>
    <row r="266" spans="3:3">
      <c r="C266" s="563"/>
    </row>
    <row r="267" spans="3:3">
      <c r="C267" s="563"/>
    </row>
    <row r="268" spans="3:3">
      <c r="C268" s="563"/>
    </row>
    <row r="269" spans="3:3">
      <c r="C269" s="563"/>
    </row>
    <row r="270" spans="3:3">
      <c r="C270" s="563"/>
    </row>
    <row r="271" spans="3:3">
      <c r="C271" s="563"/>
    </row>
    <row r="272" spans="3:3">
      <c r="C272" s="563"/>
    </row>
    <row r="273" spans="3:3">
      <c r="C273" s="563"/>
    </row>
    <row r="274" spans="3:3">
      <c r="C274" s="563"/>
    </row>
    <row r="275" spans="3:3">
      <c r="C275" s="563"/>
    </row>
    <row r="276" spans="3:3">
      <c r="C276" s="563"/>
    </row>
    <row r="277" spans="3:3">
      <c r="C277" s="563"/>
    </row>
    <row r="278" spans="3:3">
      <c r="C278" s="563"/>
    </row>
    <row r="279" spans="3:3">
      <c r="C279" s="563"/>
    </row>
    <row r="280" spans="3:3">
      <c r="C280" s="563"/>
    </row>
    <row r="281" spans="3:3">
      <c r="C281" s="563"/>
    </row>
    <row r="282" spans="3:3">
      <c r="C282" s="563"/>
    </row>
    <row r="283" spans="3:3">
      <c r="C283" s="563"/>
    </row>
    <row r="284" spans="3:3">
      <c r="C284" s="563"/>
    </row>
    <row r="285" spans="3:3">
      <c r="C285" s="563"/>
    </row>
    <row r="286" spans="3:3">
      <c r="C286" s="563"/>
    </row>
    <row r="287" spans="3:3">
      <c r="C287" s="563"/>
    </row>
    <row r="288" spans="3:3">
      <c r="C288" s="563"/>
    </row>
    <row r="289" spans="3:3">
      <c r="C289" s="563"/>
    </row>
    <row r="290" spans="3:3">
      <c r="C290" s="563"/>
    </row>
    <row r="291" spans="3:3">
      <c r="C291" s="563"/>
    </row>
    <row r="292" spans="3:3">
      <c r="C292" s="563"/>
    </row>
    <row r="293" spans="3:3">
      <c r="C293" s="563"/>
    </row>
    <row r="294" spans="3:3">
      <c r="C294" s="563"/>
    </row>
    <row r="295" spans="3:3">
      <c r="C295" s="563"/>
    </row>
    <row r="296" spans="3:3">
      <c r="C296" s="563"/>
    </row>
    <row r="297" spans="3:3">
      <c r="C297" s="563"/>
    </row>
    <row r="298" spans="3:3">
      <c r="C298" s="563"/>
    </row>
    <row r="299" spans="3:3">
      <c r="C299" s="563"/>
    </row>
    <row r="300" spans="3:3">
      <c r="C300" s="563"/>
    </row>
    <row r="301" spans="3:3">
      <c r="C301" s="563"/>
    </row>
    <row r="302" spans="3:3">
      <c r="C302" s="563"/>
    </row>
    <row r="303" spans="3:3">
      <c r="C303" s="563"/>
    </row>
    <row r="304" spans="3:3">
      <c r="C304" s="563"/>
    </row>
    <row r="305" spans="3:3">
      <c r="C305" s="563"/>
    </row>
    <row r="306" spans="3:3">
      <c r="C306" s="563"/>
    </row>
    <row r="307" spans="3:3">
      <c r="C307" s="563"/>
    </row>
    <row r="308" spans="3:3">
      <c r="C308" s="563"/>
    </row>
    <row r="309" spans="3:3">
      <c r="C309" s="563"/>
    </row>
    <row r="310" spans="3:3">
      <c r="C310" s="563"/>
    </row>
    <row r="311" spans="3:3">
      <c r="C311" s="563"/>
    </row>
    <row r="312" spans="3:3">
      <c r="C312" s="563"/>
    </row>
    <row r="313" spans="3:3">
      <c r="C313" s="563"/>
    </row>
    <row r="314" spans="3:3">
      <c r="C314" s="563"/>
    </row>
    <row r="315" spans="3:3">
      <c r="C315" s="563"/>
    </row>
    <row r="316" spans="3:3">
      <c r="C316" s="563"/>
    </row>
    <row r="317" spans="3:3">
      <c r="C317" s="563"/>
    </row>
    <row r="318" spans="3:3">
      <c r="C318" s="563"/>
    </row>
    <row r="319" spans="3:3">
      <c r="C319" s="563"/>
    </row>
    <row r="320" spans="3:3">
      <c r="C320" s="563"/>
    </row>
    <row r="321" spans="3:3">
      <c r="C321" s="563"/>
    </row>
    <row r="322" spans="3:3">
      <c r="C322" s="563"/>
    </row>
    <row r="323" spans="3:3">
      <c r="C323" s="563"/>
    </row>
    <row r="324" spans="3:3">
      <c r="C324" s="563"/>
    </row>
    <row r="325" spans="3:3">
      <c r="C325" s="563"/>
    </row>
    <row r="326" spans="3:3">
      <c r="C326" s="563"/>
    </row>
    <row r="327" spans="3:3">
      <c r="C327" s="563"/>
    </row>
    <row r="328" spans="3:3">
      <c r="C328" s="563"/>
    </row>
    <row r="329" spans="3:3">
      <c r="C329" s="563"/>
    </row>
    <row r="330" spans="3:3">
      <c r="C330" s="563"/>
    </row>
    <row r="331" spans="3:3">
      <c r="C331" s="563"/>
    </row>
    <row r="332" spans="3:3">
      <c r="C332" s="563"/>
    </row>
    <row r="333" spans="3:3">
      <c r="C333" s="563"/>
    </row>
    <row r="334" spans="3:3">
      <c r="C334" s="563"/>
    </row>
    <row r="335" spans="3:3">
      <c r="C335" s="563"/>
    </row>
    <row r="336" spans="3:3">
      <c r="C336" s="563"/>
    </row>
    <row r="337" spans="3:3">
      <c r="C337" s="563"/>
    </row>
    <row r="338" spans="3:3">
      <c r="C338" s="563"/>
    </row>
    <row r="339" spans="3:3">
      <c r="C339" s="563"/>
    </row>
    <row r="340" spans="3:3">
      <c r="C340" s="563"/>
    </row>
    <row r="341" spans="3:3">
      <c r="C341" s="563"/>
    </row>
    <row r="342" spans="3:3">
      <c r="C342" s="563"/>
    </row>
    <row r="343" spans="3:3">
      <c r="C343" s="563"/>
    </row>
    <row r="344" spans="3:3">
      <c r="C344" s="563"/>
    </row>
    <row r="345" spans="3:3">
      <c r="C345" s="563"/>
    </row>
    <row r="346" spans="3:3">
      <c r="C346" s="563"/>
    </row>
    <row r="347" spans="3:3">
      <c r="C347" s="563"/>
    </row>
    <row r="348" spans="3:3">
      <c r="C348" s="563"/>
    </row>
    <row r="349" spans="3:3">
      <c r="C349" s="563"/>
    </row>
    <row r="350" spans="3:3">
      <c r="C350" s="563"/>
    </row>
    <row r="351" spans="3:3">
      <c r="C351" s="563"/>
    </row>
    <row r="352" spans="3:3">
      <c r="C352" s="563"/>
    </row>
    <row r="353" spans="3:3">
      <c r="C353" s="563"/>
    </row>
    <row r="354" spans="3:3">
      <c r="C354" s="563"/>
    </row>
    <row r="355" spans="3:3">
      <c r="C355" s="563"/>
    </row>
    <row r="356" spans="3:3">
      <c r="C356" s="563"/>
    </row>
    <row r="357" spans="3:3">
      <c r="C357" s="563"/>
    </row>
    <row r="358" spans="3:3">
      <c r="C358" s="563"/>
    </row>
    <row r="359" spans="3:3">
      <c r="C359" s="563"/>
    </row>
    <row r="360" spans="3:3">
      <c r="C360" s="563"/>
    </row>
    <row r="361" spans="3:3">
      <c r="C361" s="563"/>
    </row>
    <row r="362" spans="3:3">
      <c r="C362" s="563"/>
    </row>
    <row r="363" spans="3:3">
      <c r="C363" s="563"/>
    </row>
    <row r="364" spans="3:3">
      <c r="C364" s="563"/>
    </row>
    <row r="365" spans="3:3">
      <c r="C365" s="563"/>
    </row>
    <row r="366" spans="3:3">
      <c r="C366" s="563"/>
    </row>
    <row r="367" spans="3:3">
      <c r="C367" s="563"/>
    </row>
    <row r="368" spans="3:3">
      <c r="C368" s="563"/>
    </row>
    <row r="369" spans="3:3">
      <c r="C369" s="563"/>
    </row>
    <row r="370" spans="3:3">
      <c r="C370" s="563"/>
    </row>
    <row r="371" spans="3:3">
      <c r="C371" s="563"/>
    </row>
    <row r="372" spans="3:3">
      <c r="C372" s="563"/>
    </row>
    <row r="373" spans="3:3">
      <c r="C373" s="563"/>
    </row>
    <row r="374" spans="3:3">
      <c r="C374" s="563"/>
    </row>
    <row r="375" spans="3:3">
      <c r="C375" s="563"/>
    </row>
    <row r="376" spans="3:3">
      <c r="C376" s="563"/>
    </row>
    <row r="377" spans="3:3">
      <c r="C377" s="563"/>
    </row>
    <row r="378" spans="3:3">
      <c r="C378" s="563"/>
    </row>
    <row r="379" spans="3:3">
      <c r="C379" s="563"/>
    </row>
    <row r="380" spans="3:3">
      <c r="C380" s="563"/>
    </row>
    <row r="381" spans="3:3">
      <c r="C381" s="563"/>
    </row>
    <row r="382" spans="3:3">
      <c r="C382" s="563"/>
    </row>
    <row r="383" spans="3:3">
      <c r="C383" s="563"/>
    </row>
    <row r="384" spans="3:3">
      <c r="C384" s="563"/>
    </row>
    <row r="385" spans="3:3">
      <c r="C385" s="563"/>
    </row>
    <row r="386" spans="3:3">
      <c r="C386" s="563"/>
    </row>
    <row r="387" spans="3:3">
      <c r="C387" s="563"/>
    </row>
    <row r="388" spans="3:3">
      <c r="C388" s="563"/>
    </row>
    <row r="389" spans="3:3">
      <c r="C389" s="563"/>
    </row>
    <row r="390" spans="3:3">
      <c r="C390" s="563"/>
    </row>
    <row r="391" spans="3:3">
      <c r="C391" s="563"/>
    </row>
    <row r="392" spans="3:3">
      <c r="C392" s="563"/>
    </row>
    <row r="393" spans="3:3">
      <c r="C393" s="563"/>
    </row>
    <row r="394" spans="3:3">
      <c r="C394" s="563"/>
    </row>
  </sheetData>
  <pageMargins left="0.7" right="0.7" top="0.75" bottom="0.75" header="0.3" footer="0.3"/>
  <pageSetup paperSize="9" orientation="portrait" r:id="rId1"/>
  <ignoredErrors>
    <ignoredError sqref="M32:N32 O32:Q32 M68:Q68" formulaRange="1"/>
  </ignoredErrors>
  <drawing r:id="rId2"/>
  <legacyDrawing r:id="rId3"/>
  <extLst>
    <ext xmlns:x14="http://schemas.microsoft.com/office/spreadsheetml/2009/9/main" uri="{05C60535-1F16-4fd2-B633-F4F36F0B64E0}">
      <x14:sparklineGroups xmlns:xm="http://schemas.microsoft.com/office/excel/2006/main">
        <x14:sparklineGroup displayEmptyCellsAs="gap" xr2:uid="{00000000-0003-0000-0800-000060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 displayEmptyCellsAs="gap" xr2:uid="{00000000-0003-0000-0800-00005F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800-00005E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800-00005D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800-00005C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800-00005B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800-00005A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800-000059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800-000058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800-000057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800-000056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800-000055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800-000054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00000000-0003-0000-0800-000053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800-000052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800-000051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8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8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8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8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8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s>
        </x14:sparklineGroup>
        <x14:sparklineGroup displayEmptyCellsAs="gap" xr2:uid="{00000000-0003-0000-0800-00004B000000}">
          <x14:colorSeries rgb="FF7B1314"/>
          <x14:colorNegative rgb="FFD00000"/>
          <x14:colorAxis rgb="FF000000"/>
          <x14:colorMarkers rgb="FFD00000"/>
          <x14:colorFirst rgb="FFD00000"/>
          <x14:colorLast rgb="FFD00000"/>
          <x14:colorHigh rgb="FFD00000"/>
          <x14:colorLow rgb="FFD00000"/>
          <x14:sparklines>
            <x14:sparkline>
              <xm:f>Inputs!G71:Q71</xm:f>
              <xm:sqref>F71</xm:sqref>
            </x14:sparkline>
          </x14:sparklines>
        </x14:sparklineGroup>
        <x14:sparklineGroup displayEmptyCellsAs="gap" xr2:uid="{00000000-0003-0000-0800-00004A000000}">
          <x14:colorSeries rgb="FF7B1314"/>
          <x14:colorNegative rgb="FFD00000"/>
          <x14:colorAxis rgb="FF000000"/>
          <x14:colorMarkers rgb="FFD00000"/>
          <x14:colorFirst rgb="FFD00000"/>
          <x14:colorLast rgb="FFD00000"/>
          <x14:colorHigh rgb="FFD00000"/>
          <x14:colorLow rgb="FFD00000"/>
          <x14:sparklines>
            <x14:sparkline>
              <xm:f>Inputs!G72:Q72</xm:f>
              <xm:sqref>F72</xm:sqref>
            </x14:sparkline>
          </x14:sparklines>
        </x14:sparklineGroup>
        <x14:sparklineGroup displayEmptyCellsAs="gap" xr2:uid="{00000000-0003-0000-0800-000049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800-000048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800-000047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800-000046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800-000045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800-000044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8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8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8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8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8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8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8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8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8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8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8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8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8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8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8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8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8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8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8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8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8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8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8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8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8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8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8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8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8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8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8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8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8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8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gap" xr2:uid="{00000000-0003-0000-08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8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8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8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8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8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8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8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800-000019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800-000018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800-000017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800-000016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800-000015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800-000014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800-000013000000}">
          <x14:colorSeries rgb="FF7B1314"/>
          <x14:colorNegative rgb="FFD00000"/>
          <x14:colorAxis rgb="FF000000"/>
          <x14:colorMarkers rgb="FFD00000"/>
          <x14:colorFirst rgb="FFD00000"/>
          <x14:colorLast rgb="FFD00000"/>
          <x14:colorHigh rgb="FFD00000"/>
          <x14:colorLow rgb="FFD00000"/>
          <x14:sparklines>
            <x14:sparkline>
              <xm:f>Inputs!G113:P113</xm:f>
              <xm:sqref>F113</xm:sqref>
            </x14:sparkline>
          </x14:sparklines>
        </x14:sparklineGroup>
        <x14:sparklineGroup displayEmptyCellsAs="gap" xr2:uid="{00000000-0003-0000-0800-000012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8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8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8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8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8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8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8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8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8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8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8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8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8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800-000004000000}">
          <x14:colorSeries rgb="FF7B1314"/>
          <x14:colorNegative rgb="FFD00000"/>
          <x14:colorAxis rgb="FF000000"/>
          <x14:colorMarkers rgb="FFD00000"/>
          <x14:colorFirst rgb="FFD00000"/>
          <x14:colorLast rgb="FFD00000"/>
          <x14:colorHigh rgb="FFD00000"/>
          <x14:colorLow rgb="FFD00000"/>
          <x14:sparklines>
            <x14:sparkline>
              <xm:f>Inputs!G112:P112</xm:f>
              <xm:sqref>F112</xm:sqref>
            </x14:sparkline>
          </x14:sparklines>
        </x14:sparklineGroup>
        <x14:sparklineGroup displayEmptyCellsAs="gap" xr2:uid="{00000000-0003-0000-0800-000003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pageSetUpPr autoPageBreaks="0"/>
  </sheetPr>
  <dimension ref="B2:N25"/>
  <sheetViews>
    <sheetView showGridLines="0" zoomScale="89" zoomScaleNormal="115" workbookViewId="0">
      <selection activeCell="G12" sqref="G12"/>
    </sheetView>
  </sheetViews>
  <sheetFormatPr defaultColWidth="8.875" defaultRowHeight="14.25"/>
  <cols>
    <col min="1" max="1" width="2.375" customWidth="1"/>
    <col min="6" max="6" width="8.125" customWidth="1"/>
    <col min="7" max="7" width="12.5" bestFit="1" customWidth="1"/>
    <col min="9" max="9" width="15.375" customWidth="1"/>
    <col min="10" max="10" width="7.5" customWidth="1"/>
    <col min="13" max="13" width="33" customWidth="1"/>
    <col min="14" max="14" width="14" customWidth="1"/>
    <col min="16" max="16" width="26.625" bestFit="1" customWidth="1"/>
    <col min="17" max="17" width="10.375" bestFit="1" customWidth="1"/>
    <col min="18" max="18" width="12.125" bestFit="1" customWidth="1"/>
  </cols>
  <sheetData>
    <row r="2" spans="2:14" s="29" customFormat="1" ht="20.25">
      <c r="B2" s="32" t="s">
        <v>364</v>
      </c>
    </row>
    <row r="4" spans="2:14">
      <c r="B4" t="s">
        <v>522</v>
      </c>
    </row>
    <row r="5" spans="2:14">
      <c r="B5" t="s">
        <v>523</v>
      </c>
    </row>
    <row r="7" spans="2:14" ht="15">
      <c r="B7" s="2" t="s">
        <v>364</v>
      </c>
      <c r="C7" s="3"/>
      <c r="D7" s="3"/>
      <c r="E7" s="3"/>
      <c r="F7" s="3"/>
      <c r="G7" s="90"/>
      <c r="I7" s="2" t="s">
        <v>524</v>
      </c>
      <c r="J7" s="91" t="s">
        <v>170</v>
      </c>
      <c r="K7" s="91" t="s">
        <v>525</v>
      </c>
      <c r="M7" s="649" t="s">
        <v>194</v>
      </c>
      <c r="N7" s="650" t="s">
        <v>526</v>
      </c>
    </row>
    <row r="8" spans="2:14" ht="3.95" customHeight="1">
      <c r="B8" s="92"/>
      <c r="C8" s="93"/>
      <c r="D8" s="93"/>
      <c r="E8" s="93"/>
      <c r="F8" s="93"/>
      <c r="G8" s="94"/>
      <c r="I8" s="93"/>
      <c r="J8" s="95"/>
      <c r="K8" s="96"/>
      <c r="M8" s="651" t="s">
        <v>527</v>
      </c>
      <c r="N8" s="651"/>
    </row>
    <row r="9" spans="2:14">
      <c r="B9" s="97" t="s">
        <v>528</v>
      </c>
      <c r="G9" s="98" cm="1">
        <f t="array" aca="1" ref="G9" ca="1">+_FV(DCF!AA4,"Market cap",TRUE)/1000000</f>
        <v>16374.913458999999</v>
      </c>
      <c r="I9" t="s">
        <v>529</v>
      </c>
      <c r="J9" s="99">
        <v>0.94499999999999995</v>
      </c>
      <c r="K9" s="100">
        <v>4.3299999999999998E-2</v>
      </c>
      <c r="M9" s="97" t="str">
        <f ca="1">+Peers!B8</f>
        <v>RIGETTI COMPUTING, INC</v>
      </c>
      <c r="N9" s="653">
        <f ca="1">+Peers!E75</f>
        <v>1.3437850253713373</v>
      </c>
    </row>
    <row r="10" spans="2:14">
      <c r="B10" t="s">
        <v>530</v>
      </c>
      <c r="G10" s="12">
        <f ca="1">IFERROR(G9/G23,"")</f>
        <v>0.48020395942319211</v>
      </c>
      <c r="I10" t="s">
        <v>531</v>
      </c>
      <c r="J10" s="99">
        <v>5.5E-2</v>
      </c>
      <c r="K10" s="100"/>
      <c r="M10" s="97" t="str">
        <f ca="1">+Peers!B9</f>
        <v>D-WAVE QUANTUM INC.</v>
      </c>
      <c r="N10" s="653">
        <f ca="1">+Peers!F75</f>
        <v>0.8554503132949921</v>
      </c>
    </row>
    <row r="11" spans="2:14">
      <c r="B11" t="s">
        <v>532</v>
      </c>
      <c r="G11" s="24">
        <f>IFERROR(G12+G14*G15,"")</f>
        <v>0.14539625</v>
      </c>
      <c r="J11" s="99"/>
      <c r="K11" s="100"/>
      <c r="M11" s="97" t="str">
        <f ca="1">+Peers!B10</f>
        <v>QUANTUM COMPUTING INC.</v>
      </c>
      <c r="N11" s="653">
        <f ca="1">+Peers!G75</f>
        <v>3.8163897260021393</v>
      </c>
    </row>
    <row r="12" spans="2:14">
      <c r="B12" t="s">
        <v>533</v>
      </c>
      <c r="G12" s="101">
        <v>4.3099999999999999E-2</v>
      </c>
      <c r="J12" s="99"/>
      <c r="K12" s="100"/>
      <c r="M12" s="97" t="str">
        <f>+Peers!B11</f>
        <v/>
      </c>
      <c r="N12" s="653">
        <f>+Peers!H75</f>
        <v>0</v>
      </c>
    </row>
    <row r="13" spans="2:14">
      <c r="B13" t="s">
        <v>534</v>
      </c>
      <c r="G13" s="102">
        <f ca="1">+N19</f>
        <v>2.0052083548894895</v>
      </c>
      <c r="J13" s="99"/>
      <c r="K13" s="100"/>
      <c r="M13" s="97" t="str">
        <f>+Peers!B12</f>
        <v/>
      </c>
      <c r="N13" s="653">
        <f>+Peers!I75</f>
        <v>0</v>
      </c>
    </row>
    <row r="14" spans="2:14">
      <c r="B14" t="s">
        <v>40</v>
      </c>
      <c r="G14" s="706">
        <v>2.5</v>
      </c>
      <c r="I14" t="s">
        <v>133</v>
      </c>
      <c r="J14" s="24">
        <f>1-SUM(J9:J13)</f>
        <v>0</v>
      </c>
      <c r="K14" s="24">
        <f>MAX(K9:K13)</f>
        <v>4.3299999999999998E-2</v>
      </c>
      <c r="M14" s="97" t="str">
        <f>+Peers!B13</f>
        <v/>
      </c>
      <c r="N14" s="653">
        <f>+Peers!J75</f>
        <v>0</v>
      </c>
    </row>
    <row r="15" spans="2:14">
      <c r="B15" t="s">
        <v>535</v>
      </c>
      <c r="G15" s="368">
        <f>SUMPRODUCT(J9:J14,K9:K14)</f>
        <v>4.0918499999999997E-2</v>
      </c>
      <c r="J15" s="24"/>
      <c r="K15" s="24"/>
      <c r="M15" s="97" t="str">
        <f>+Peers!B14</f>
        <v/>
      </c>
      <c r="N15" s="653" t="str">
        <f>+Peers!K75</f>
        <v/>
      </c>
    </row>
    <row r="16" spans="2:14" ht="15">
      <c r="B16" s="1" t="s">
        <v>536</v>
      </c>
      <c r="G16" s="24">
        <f ca="1">IFERROR(+G12+G13*G15,"")</f>
        <v>0.12515011806954557</v>
      </c>
      <c r="J16" s="24"/>
      <c r="K16" s="24"/>
      <c r="M16" s="97" t="str">
        <f>+Peers!B15</f>
        <v/>
      </c>
      <c r="N16" s="653" t="str">
        <f>+Peers!L75</f>
        <v/>
      </c>
    </row>
    <row r="17" spans="2:14">
      <c r="M17" s="97" t="str">
        <f>+Peers!B16</f>
        <v/>
      </c>
      <c r="N17" s="653" t="str">
        <f>+Peers!M75</f>
        <v/>
      </c>
    </row>
    <row r="18" spans="2:14">
      <c r="B18" s="97" t="s">
        <v>537</v>
      </c>
      <c r="G18" s="103">
        <v>17725</v>
      </c>
      <c r="M18" s="97" t="str">
        <f>+Peers!B17</f>
        <v/>
      </c>
      <c r="N18" s="653" t="str">
        <f>+Peers!N75</f>
        <v/>
      </c>
    </row>
    <row r="19" spans="2:14" ht="15">
      <c r="B19" t="s">
        <v>392</v>
      </c>
      <c r="G19" s="12">
        <f ca="1">IFERROR(G18/G23,"")</f>
        <v>0.51979604057680784</v>
      </c>
      <c r="M19" s="652" t="s">
        <v>196</v>
      </c>
      <c r="N19" s="654">
        <f ca="1">IFERROR(+AVERAGEIF(N9:N18,"&gt;0"),"")</f>
        <v>2.0052083548894895</v>
      </c>
    </row>
    <row r="20" spans="2:14">
      <c r="B20" t="s">
        <v>538</v>
      </c>
      <c r="G20" s="101">
        <v>0.1454</v>
      </c>
    </row>
    <row r="21" spans="2:14">
      <c r="B21" t="s">
        <v>539</v>
      </c>
      <c r="G21" s="808">
        <f>+DCF!H80</f>
        <v>0.21</v>
      </c>
    </row>
    <row r="23" spans="2:14">
      <c r="B23" t="s">
        <v>173</v>
      </c>
      <c r="G23" s="19">
        <f ca="1">+G9+G18</f>
        <v>34099.913459000003</v>
      </c>
    </row>
    <row r="25" spans="2:14" ht="15">
      <c r="B25" s="1" t="s">
        <v>364</v>
      </c>
      <c r="G25" s="104">
        <f ca="1">IFERROR(G10*G11+G19*G20*(1-G21),"")</f>
        <v>0.12952674693217991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B1:T76"/>
  <sheetViews>
    <sheetView showGridLines="0" zoomScaleNormal="100" workbookViewId="0">
      <selection activeCell="T6" sqref="T6"/>
    </sheetView>
  </sheetViews>
  <sheetFormatPr defaultColWidth="8.875" defaultRowHeight="14.25"/>
  <cols>
    <col min="1" max="1" width="1.625" customWidth="1"/>
    <col min="2" max="2" width="15.625" style="8" customWidth="1"/>
    <col min="4" max="4" width="16.125" customWidth="1"/>
    <col min="5" max="5" width="13.375" customWidth="1"/>
    <col min="6" max="11" width="13.375" hidden="1" customWidth="1"/>
    <col min="12" max="13" width="13.375" customWidth="1"/>
    <col min="14" max="17" width="12.625" style="18" customWidth="1"/>
    <col min="18" max="18" width="12.625" customWidth="1"/>
  </cols>
  <sheetData>
    <row r="1" spans="2:19">
      <c r="R1" s="18"/>
    </row>
    <row r="2" spans="2:19" s="223" customFormat="1" ht="20.100000000000001" customHeight="1">
      <c r="B2" s="222" t="s">
        <v>540</v>
      </c>
      <c r="C2" s="462"/>
      <c r="D2" s="462"/>
      <c r="E2" s="462"/>
      <c r="F2" s="462"/>
      <c r="G2" s="462"/>
      <c r="H2" s="462"/>
      <c r="I2" s="462"/>
      <c r="J2" s="462"/>
      <c r="K2" s="462"/>
      <c r="L2" s="462"/>
      <c r="M2" s="462"/>
      <c r="N2" s="463"/>
      <c r="O2" s="463"/>
      <c r="P2" s="463"/>
      <c r="Q2" s="224"/>
      <c r="R2" s="224"/>
      <c r="S2" s="462"/>
    </row>
    <row r="3" spans="2:19">
      <c r="R3" s="18"/>
    </row>
    <row r="4" spans="2:19" ht="15.75">
      <c r="B4" s="7" t="s">
        <v>541</v>
      </c>
      <c r="C4" s="47"/>
      <c r="D4" s="49"/>
      <c r="E4" s="49"/>
      <c r="F4" s="346">
        <v>2014</v>
      </c>
      <c r="G4" s="346">
        <f t="shared" ref="G4:J4" si="0">+F4+1</f>
        <v>2015</v>
      </c>
      <c r="H4" s="346">
        <f t="shared" si="0"/>
        <v>2016</v>
      </c>
      <c r="I4" s="346">
        <f t="shared" si="0"/>
        <v>2017</v>
      </c>
      <c r="J4" s="346">
        <f t="shared" si="0"/>
        <v>2018</v>
      </c>
      <c r="K4" s="346">
        <f t="shared" ref="K4" si="1">+J4+1</f>
        <v>2019</v>
      </c>
      <c r="L4" s="346">
        <f t="shared" ref="L4" si="2">+K4+1</f>
        <v>2020</v>
      </c>
      <c r="M4" s="346">
        <f t="shared" ref="M4" si="3">+L4+1</f>
        <v>2021</v>
      </c>
      <c r="N4" s="346">
        <v>2022</v>
      </c>
      <c r="O4" s="346">
        <f t="shared" ref="O4" si="4">+N4+1</f>
        <v>2023</v>
      </c>
      <c r="P4" s="347">
        <f>+O4+1</f>
        <v>2024</v>
      </c>
      <c r="Q4" s="345">
        <f>+P4+1</f>
        <v>2025</v>
      </c>
      <c r="R4" s="345">
        <f>+Q4+1</f>
        <v>2026</v>
      </c>
    </row>
    <row r="5" spans="2:19" ht="3.95" customHeight="1">
      <c r="B5" s="225"/>
      <c r="C5" s="44"/>
      <c r="D5" s="50"/>
      <c r="E5" s="50"/>
      <c r="F5" s="50"/>
      <c r="G5" s="50"/>
      <c r="H5" s="50"/>
      <c r="I5" s="50"/>
      <c r="J5" s="50"/>
      <c r="K5" s="50"/>
      <c r="L5" s="50"/>
      <c r="M5" s="50"/>
      <c r="N5" s="200"/>
      <c r="O5" s="200"/>
      <c r="P5" s="326"/>
      <c r="Q5" s="200"/>
      <c r="R5" s="200"/>
    </row>
    <row r="6" spans="2:19" ht="15">
      <c r="B6" s="848" t="s">
        <v>11</v>
      </c>
      <c r="F6" s="11" t="str">
        <f ca="1">IFERROR(_xlfn.XLOOKUP("Enterprise Value",Inputs!$B:$B,Inputs!G:G)/_xlfn.XLOOKUP("Revenue (Sales)",Inputs!$B:$B,Inputs!G:G),"")</f>
        <v/>
      </c>
      <c r="G6" s="11" t="str">
        <f ca="1">IFERROR(_xlfn.XLOOKUP("Enterprise Value",Inputs!$B:$B,Inputs!H:H)/_xlfn.XLOOKUP("Revenue (Sales)",Inputs!$B:$B,Inputs!H:H),"")</f>
        <v/>
      </c>
      <c r="H6" s="11" t="str">
        <f ca="1">IFERROR(_xlfn.XLOOKUP("Enterprise Value",Inputs!$B:$B,Inputs!I:I)/_xlfn.XLOOKUP("Revenue (Sales)",Inputs!$B:$B,Inputs!I:I),"")</f>
        <v/>
      </c>
      <c r="I6" s="11" t="str">
        <f ca="1">IFERROR(_xlfn.XLOOKUP("Enterprise Value",Inputs!$B:$B,Inputs!J:J)/_xlfn.XLOOKUP("Revenue (Sales)",Inputs!$B:$B,Inputs!J:J),"")</f>
        <v/>
      </c>
      <c r="J6" s="11" t="str">
        <f ca="1">IFERROR(_xlfn.XLOOKUP("Enterprise Value",Inputs!$B:$B,Inputs!K:K)/_xlfn.XLOOKUP("Revenue (Sales)",Inputs!$B:$B,Inputs!K:K),"")</f>
        <v/>
      </c>
      <c r="K6" s="11" t="str">
        <f ca="1">IFERROR(_xlfn.XLOOKUP("Enterprise Value",Inputs!$B:$B,Inputs!L:L)/_xlfn.XLOOKUP("Revenue (Sales)",Inputs!$B:$B,Inputs!L:L),"")</f>
        <v/>
      </c>
      <c r="L6" s="11" t="str">
        <f ca="1">IFERROR(_xlfn.XLOOKUP("Enterprise Value",Inputs!$B:$B,Inputs!M:M)/_xlfn.XLOOKUP("Revenue (Sales)",Inputs!$B:$B,Inputs!M:M),"")</f>
        <v/>
      </c>
      <c r="M6" s="11">
        <f ca="1">IFERROR(_xlfn.XLOOKUP("Enterprise Value",Inputs!$B:$B,Inputs!N:N)/_xlfn.XLOOKUP("Revenue (Sales)",Inputs!$B:$B,Inputs!N:N),"")</f>
        <v>847.93869461648399</v>
      </c>
      <c r="N6" s="11">
        <f ca="1">IFERROR(_xlfn.XLOOKUP("Enterprise Value",Inputs!$B:$B,Inputs!O:O)/_xlfn.XLOOKUP("Revenue (Sales)",Inputs!$B:$B,Inputs!O:O),"")</f>
        <v>31.282787170963978</v>
      </c>
      <c r="O6" s="11">
        <f ca="1">IFERROR(_xlfn.XLOOKUP("Enterprise Value",Inputs!$B:$B,Inputs!P:P)/_xlfn.XLOOKUP("Revenue (Sales)",Inputs!$B:$B,Inputs!P:P),"")</f>
        <v>98.112096679067236</v>
      </c>
      <c r="P6" s="324">
        <f ca="1">IFERROR(_xlfn.XLOOKUP("Enterprise Value",Inputs!$B:$B,Inputs!Q:Q)/_xlfn.XLOOKUP("Revenue (Sales)",Inputs!$B:$B,Inputs!Q:Q),"")</f>
        <v>199.09627929329281</v>
      </c>
      <c r="Q6" s="331">
        <f ca="1">IFERROR(_xlfn.XLOOKUP("Enterprise Value",DCF!$B:$B,DCF!AA:AA)/_xlfn.XLOOKUP("Revenue (Sales)",DCF!$B:$B,DCF!H:H),"")</f>
        <v>-27.061042409673121</v>
      </c>
      <c r="R6" s="331">
        <f ca="1">IFERROR(_xlfn.XLOOKUP("Enterprise Value",DCF!$B:$B,DCF!AB:AB)/_xlfn.XLOOKUP("Revenue (Sales)",DCF!$B:$B,DCF!I:I),"")</f>
        <v>-17.209963258666306</v>
      </c>
    </row>
    <row r="7" spans="2:19" ht="15">
      <c r="B7" s="849" t="s">
        <v>13</v>
      </c>
      <c r="F7" s="11" t="str">
        <f ca="1">IFERROR(_xlfn.XLOOKUP("Market Capitalization",Inputs!$B:$B,Inputs!G:G)/_xlfn.XLOOKUP("Revenue (Sales)",Inputs!$B:$B,Inputs!G:G),"")</f>
        <v/>
      </c>
      <c r="G7" s="11" t="str">
        <f ca="1">IFERROR(_xlfn.XLOOKUP("Market Capitalization",Inputs!$B:$B,Inputs!H:H)/_xlfn.XLOOKUP("Revenue (Sales)",Inputs!$B:$B,Inputs!H:H),"")</f>
        <v/>
      </c>
      <c r="H7" s="11" t="str">
        <f ca="1">IFERROR(_xlfn.XLOOKUP("Market Capitalization",Inputs!$B:$B,Inputs!I:I)/_xlfn.XLOOKUP("Revenue (Sales)",Inputs!$B:$B,Inputs!I:I),"")</f>
        <v/>
      </c>
      <c r="I7" s="11" t="str">
        <f ca="1">IFERROR(_xlfn.XLOOKUP("Market Capitalization",Inputs!$B:$B,Inputs!J:J)/_xlfn.XLOOKUP("Revenue (Sales)",Inputs!$B:$B,Inputs!J:J),"")</f>
        <v/>
      </c>
      <c r="J7" s="11" t="str">
        <f ca="1">IFERROR(_xlfn.XLOOKUP("Market Capitalization",Inputs!$B:$B,Inputs!K:K)/_xlfn.XLOOKUP("Revenue (Sales)",Inputs!$B:$B,Inputs!K:K),"")</f>
        <v/>
      </c>
      <c r="K7" s="11" t="str">
        <f ca="1">IFERROR(_xlfn.XLOOKUP("Market Capitalization",Inputs!$B:$B,Inputs!L:L)/_xlfn.XLOOKUP("Revenue (Sales)",Inputs!$B:$B,Inputs!L:L),"")</f>
        <v/>
      </c>
      <c r="L7" s="11" t="str">
        <f ca="1">IFERROR(_xlfn.XLOOKUP("Market Capitalization",Inputs!$B:$B,Inputs!M:M)/_xlfn.XLOOKUP("Revenue (Sales)",Inputs!$B:$B,Inputs!M:M),"")</f>
        <v/>
      </c>
      <c r="M7" s="11">
        <f ca="1">IFERROR(_xlfn.XLOOKUP("Market Capitalization",Inputs!$B:$B,Inputs!N:N)/_xlfn.XLOOKUP("Revenue (Sales)",Inputs!$B:$B,Inputs!N:N),"")</f>
        <v>1094.845316817532</v>
      </c>
      <c r="N7" s="11">
        <f ca="1">IFERROR(_xlfn.XLOOKUP("Market Capitalization",Inputs!$B:$B,Inputs!O:O)/_xlfn.XLOOKUP("Revenue (Sales)",Inputs!$B:$B,Inputs!O:O),"")</f>
        <v>62.883451980954092</v>
      </c>
      <c r="O7" s="11">
        <f ca="1">IFERROR(_xlfn.XLOOKUP("Market Capitalization",Inputs!$B:$B,Inputs!P:P)/_xlfn.XLOOKUP("Revenue (Sales)",Inputs!$B:$B,Inputs!P:P),"")</f>
        <v>113.87001338354051</v>
      </c>
      <c r="P7" s="324">
        <f ca="1">IFERROR(_xlfn.XLOOKUP("Market Capitalization",Inputs!$B:$B,Inputs!Q:Q)/_xlfn.XLOOKUP("Revenue (Sales)",Inputs!$B:$B,Inputs!Q:Q),"")</f>
        <v>206.58505416386137</v>
      </c>
      <c r="Q7" s="331">
        <f ca="1">IFERROR(_xlfn.XLOOKUP("Equity Value",DCF!$B:$B,DCF!AA:AA)/_xlfn.XLOOKUP("Revenue (Sales)",DCF!$B:$B,DCF!H:H),"")</f>
        <v>-29.825628780410174</v>
      </c>
      <c r="R7" s="331">
        <f ca="1">IFERROR(_xlfn.XLOOKUP("Equity Value",DCF!$B:$B,DCF!AB:AB)/_xlfn.XLOOKUP("Revenue (Sales)",DCF!$B:$B,DCF!I:I),"")</f>
        <v>-23.55035663918629</v>
      </c>
    </row>
    <row r="8" spans="2:19" ht="15">
      <c r="B8" s="850" t="s">
        <v>15</v>
      </c>
      <c r="F8" s="11" t="str">
        <f ca="1">IFERROR(_xlfn.XLOOKUP("Enterprise Value",Inputs!$B:$B,Inputs!G:G)/_xlfn.XLOOKUP("EBITDA",Inputs!$B:$B,Inputs!G:G),"")</f>
        <v/>
      </c>
      <c r="G8" s="11" t="str">
        <f ca="1">IFERROR(_xlfn.XLOOKUP("Enterprise Value",Inputs!$B:$B,Inputs!H:H)/_xlfn.XLOOKUP("EBITDA",Inputs!$B:$B,Inputs!H:H),"")</f>
        <v/>
      </c>
      <c r="H8" s="11" t="str">
        <f ca="1">IFERROR(_xlfn.XLOOKUP("Enterprise Value",Inputs!$B:$B,Inputs!I:I)/_xlfn.XLOOKUP("EBITDA",Inputs!$B:$B,Inputs!I:I),"")</f>
        <v/>
      </c>
      <c r="I8" s="11" t="str">
        <f ca="1">IFERROR(_xlfn.XLOOKUP("Enterprise Value",Inputs!$B:$B,Inputs!J:J)/_xlfn.XLOOKUP("EBITDA",Inputs!$B:$B,Inputs!J:J),"")</f>
        <v/>
      </c>
      <c r="J8" s="11" t="str">
        <f ca="1">IFERROR(_xlfn.XLOOKUP("Enterprise Value",Inputs!$B:$B,Inputs!K:K)/_xlfn.XLOOKUP("EBITDA",Inputs!$B:$B,Inputs!K:K),"")</f>
        <v/>
      </c>
      <c r="K8" s="11" t="str">
        <f ca="1">IFERROR(_xlfn.XLOOKUP("Enterprise Value",Inputs!$B:$B,Inputs!L:L)/_xlfn.XLOOKUP("EBITDA",Inputs!$B:$B,Inputs!L:L),"")</f>
        <v/>
      </c>
      <c r="L8" s="11" t="str">
        <f ca="1">IFERROR(_xlfn.XLOOKUP("Enterprise Value",Inputs!$B:$B,Inputs!M:M)/_xlfn.XLOOKUP("EBITDA",Inputs!$B:$B,Inputs!M:M),"")</f>
        <v/>
      </c>
      <c r="M8" s="11">
        <f ca="1">IFERROR(_xlfn.XLOOKUP("Enterprise Value",Inputs!$B:$B,Inputs!N:N)/_xlfn.XLOOKUP("EBITDA",Inputs!$B:$B,Inputs!N:N),"")</f>
        <v>-49.249379340878271</v>
      </c>
      <c r="N8" s="11">
        <f ca="1">IFERROR(_xlfn.XLOOKUP("Enterprise Value",Inputs!$B:$B,Inputs!O:O)/_xlfn.XLOOKUP("EBITDA",Inputs!$B:$B,Inputs!O:O),"")</f>
        <v>-4.3448966085198775</v>
      </c>
      <c r="O8" s="11">
        <f ca="1">IFERROR(_xlfn.XLOOKUP("Enterprise Value",Inputs!$B:$B,Inputs!P:P)/_xlfn.XLOOKUP("EBITDA",Inputs!$B:$B,Inputs!P:P),"")</f>
        <v>-14.673643022411605</v>
      </c>
      <c r="P8" s="324">
        <f ca="1">IFERROR(_xlfn.XLOOKUP("Enterprise Value",Inputs!$B:$B,Inputs!Q:Q)/_xlfn.XLOOKUP("EBITDA",Inputs!$B:$B,Inputs!Q:Q),"")</f>
        <v>-40.110542223843673</v>
      </c>
      <c r="Q8" s="331">
        <f ca="1">IFERROR(_xlfn.XLOOKUP("Enterprise Value",DCF!$B:$B,DCF!AA:AA)/_xlfn.XLOOKUP("EBITDA",DCF!$B:$B,DCF!H:H),"")</f>
        <v>7.1044772585772602</v>
      </c>
      <c r="R8" s="331">
        <f ca="1">IFERROR(_xlfn.XLOOKUP("Enterprise Value",DCF!$B:$B,DCF!AB:AB)/_xlfn.XLOOKUP("EBITDA",DCF!$B:$B,DCF!I:I),"")</f>
        <v>5.9846250128996763</v>
      </c>
    </row>
    <row r="9" spans="2:19" ht="15">
      <c r="B9" s="850" t="s">
        <v>17</v>
      </c>
      <c r="F9" s="11" t="str">
        <f ca="1">IFERROR(_xlfn.XLOOKUP("Enterprise Value",Inputs!$B:$B,Inputs!G:G)/_xlfn.XLOOKUP("Operating Income (EBIT)",Inputs!$B:$B,Inputs!G:G),"")</f>
        <v/>
      </c>
      <c r="G9" s="11" t="str">
        <f ca="1">IFERROR(_xlfn.XLOOKUP("Enterprise Value",Inputs!$B:$B,Inputs!H:H)/_xlfn.XLOOKUP("Operating Income (EBIT)",Inputs!$B:$B,Inputs!H:H),"")</f>
        <v/>
      </c>
      <c r="H9" s="11" t="str">
        <f ca="1">IFERROR(_xlfn.XLOOKUP("Enterprise Value",Inputs!$B:$B,Inputs!I:I)/_xlfn.XLOOKUP("Operating Income (EBIT)",Inputs!$B:$B,Inputs!I:I),"")</f>
        <v/>
      </c>
      <c r="I9" s="11" t="str">
        <f ca="1">IFERROR(_xlfn.XLOOKUP("Enterprise Value",Inputs!$B:$B,Inputs!J:J)/_xlfn.XLOOKUP("Operating Income (EBIT)",Inputs!$B:$B,Inputs!J:J),"")</f>
        <v/>
      </c>
      <c r="J9" s="11" t="str">
        <f ca="1">IFERROR(_xlfn.XLOOKUP("Enterprise Value",Inputs!$B:$B,Inputs!K:K)/_xlfn.XLOOKUP("Operating Income (EBIT)",Inputs!$B:$B,Inputs!K:K),"")</f>
        <v/>
      </c>
      <c r="K9" s="11" t="str">
        <f ca="1">IFERROR(_xlfn.XLOOKUP("Enterprise Value",Inputs!$B:$B,Inputs!L:L)/_xlfn.XLOOKUP("Operating Income (EBIT)",Inputs!$B:$B,Inputs!L:L),"")</f>
        <v/>
      </c>
      <c r="L9" s="11" t="str">
        <f ca="1">IFERROR(_xlfn.XLOOKUP("Enterprise Value",Inputs!$B:$B,Inputs!M:M)/_xlfn.XLOOKUP("Operating Income (EBIT)",Inputs!$B:$B,Inputs!M:M),"")</f>
        <v/>
      </c>
      <c r="M9" s="11">
        <f ca="1">IFERROR(_xlfn.XLOOKUP("Enterprise Value",Inputs!$B:$B,Inputs!N:N)/_xlfn.XLOOKUP("Operating Income (EBIT)",Inputs!$B:$B,Inputs!N:N),"")</f>
        <v>-46.005720784759731</v>
      </c>
      <c r="N9" s="11">
        <f ca="1">IFERROR(_xlfn.XLOOKUP("Enterprise Value",Inputs!$B:$B,Inputs!O:O)/_xlfn.XLOOKUP("Operating Income (EBIT)",Inputs!$B:$B,Inputs!O:O),"")</f>
        <v>-4.0609323350360373</v>
      </c>
      <c r="O9" s="11">
        <f ca="1">IFERROR(_xlfn.XLOOKUP("Enterprise Value",Inputs!$B:$B,Inputs!P:P)/_xlfn.XLOOKUP("Operating Income (EBIT)",Inputs!$B:$B,Inputs!P:P),"")</f>
        <v>-13.708602222447608</v>
      </c>
      <c r="P9" s="324">
        <f ca="1">IFERROR(_xlfn.XLOOKUP("Enterprise Value",Inputs!$B:$B,Inputs!Q:Q)/_xlfn.XLOOKUP("Operating Income (EBIT)",Inputs!$B:$B,Inputs!Q:Q),"")</f>
        <v>-36.891759858897423</v>
      </c>
      <c r="Q9" s="331">
        <f ca="1">IFERROR(_xlfn.XLOOKUP("Enterprise Value",DCF!$B:$B,DCF!AA:AA)/_xlfn.XLOOKUP("Operating Income (EBIT)",DCF!$B:$B,DCF!H:H),"")</f>
        <v>6.558915360356715</v>
      </c>
      <c r="R9" s="331">
        <f ca="1">IFERROR(_xlfn.XLOOKUP("Enterprise Value",DCF!$B:$B,DCF!AB:AB)/_xlfn.XLOOKUP("Operating Income (EBIT)",DCF!$B:$B,DCF!I:I),"")</f>
        <v>5.4442224244085988</v>
      </c>
    </row>
    <row r="10" spans="2:19" ht="15">
      <c r="B10" s="849" t="s">
        <v>19</v>
      </c>
      <c r="F10" s="11" t="str">
        <f ca="1">IFERROR(_xlfn.XLOOKUP("Market Capitalization",Inputs!$B:$B,Inputs!G:G)/_xlfn.XLOOKUP("Net Income",Inputs!$B:$B,Inputs!G:G),"")</f>
        <v/>
      </c>
      <c r="G10" s="11" t="str">
        <f ca="1">IFERROR(_xlfn.XLOOKUP("Market Capitalization",Inputs!$B:$B,Inputs!H:H)/_xlfn.XLOOKUP("Net Income",Inputs!$B:$B,Inputs!H:H),"")</f>
        <v/>
      </c>
      <c r="H10" s="11" t="str">
        <f ca="1">IFERROR(_xlfn.XLOOKUP("Market Capitalization",Inputs!$B:$B,Inputs!I:I)/_xlfn.XLOOKUP("Net Income",Inputs!$B:$B,Inputs!I:I),"")</f>
        <v/>
      </c>
      <c r="I10" s="11" t="str">
        <f ca="1">IFERROR(_xlfn.XLOOKUP("Market Capitalization",Inputs!$B:$B,Inputs!J:J)/_xlfn.XLOOKUP("Net Income",Inputs!$B:$B,Inputs!J:J),"")</f>
        <v/>
      </c>
      <c r="J10" s="11" t="str">
        <f ca="1">IFERROR(_xlfn.XLOOKUP("Market Capitalization",Inputs!$B:$B,Inputs!K:K)/_xlfn.XLOOKUP("Net Income",Inputs!$B:$B,Inputs!K:K),"")</f>
        <v/>
      </c>
      <c r="K10" s="11" t="str">
        <f ca="1">IFERROR(_xlfn.XLOOKUP("Market Capitalization",Inputs!$B:$B,Inputs!L:L)/_xlfn.XLOOKUP("Net Income",Inputs!$B:$B,Inputs!L:L),"")</f>
        <v/>
      </c>
      <c r="L10" s="11" t="str">
        <f ca="1">IFERROR(_xlfn.XLOOKUP("Market Capitalization",Inputs!$B:$B,Inputs!M:M)/_xlfn.XLOOKUP("Net Income",Inputs!$B:$B,Inputs!M:M),"")</f>
        <v/>
      </c>
      <c r="M10" s="11">
        <f ca="1">IFERROR(_xlfn.XLOOKUP("Market Capitalization",Inputs!$B:$B,Inputs!N:N)/_xlfn.XLOOKUP("Net Income",Inputs!$B:$B,Inputs!N:N),"")</f>
        <v>-21.642027385907745</v>
      </c>
      <c r="N10" s="11">
        <f ca="1">IFERROR(_xlfn.XLOOKUP("Market Capitalization",Inputs!$B:$B,Inputs!O:O)/_xlfn.XLOOKUP("Net Income",Inputs!$B:$B,Inputs!O:O),"")</f>
        <v>-14.428803858918597</v>
      </c>
      <c r="O10" s="11">
        <f ca="1">IFERROR(_xlfn.XLOOKUP("Market Capitalization",Inputs!$B:$B,Inputs!P:P)/_xlfn.XLOOKUP("Net Income",Inputs!$B:$B,Inputs!P:P),"")</f>
        <v>-15.913481680876467</v>
      </c>
      <c r="P10" s="324">
        <f ca="1">IFERROR(_xlfn.XLOOKUP("Market Capitalization",Inputs!$B:$B,Inputs!Q:Q)/_xlfn.XLOOKUP("Net Income",Inputs!$B:$B,Inputs!Q:Q),"")</f>
        <v>-26.835218568591461</v>
      </c>
      <c r="Q10" s="331">
        <f ca="1">IFERROR(_xlfn.XLOOKUP("Equity Value",DCF!$B:$B,DCF!AA:AA)/_xlfn.XLOOKUP("Net Income",DCF!$B:$B,DCF!H:H),"")</f>
        <v>7.3033355708452969</v>
      </c>
      <c r="R10" s="331">
        <f ca="1">IFERROR(_xlfn.XLOOKUP("Equity Value",DCF!$B:$B,DCF!AB:AB)/_xlfn.XLOOKUP("Net Income",DCF!$B:$B,DCF!I:I),"")</f>
        <v>6.8596672318327334</v>
      </c>
    </row>
    <row r="11" spans="2:19" ht="15">
      <c r="B11" s="850" t="s">
        <v>21</v>
      </c>
      <c r="F11" s="11" t="str">
        <f ca="1">IFERROR(_xlfn.XLOOKUP("Market Capitalization",Inputs!$B:$B,Inputs!G:G)/_xlfn.XLOOKUP("Shareholder's Equity",Inputs!$B:$B,Inputs!G:G),"")</f>
        <v/>
      </c>
      <c r="G11" s="11" t="str">
        <f ca="1">IFERROR(_xlfn.XLOOKUP("Market Capitalization",Inputs!$B:$B,Inputs!H:H)/_xlfn.XLOOKUP("Shareholder's Equity",Inputs!$B:$B,Inputs!H:H),"")</f>
        <v/>
      </c>
      <c r="H11" s="11" t="str">
        <f ca="1">IFERROR(_xlfn.XLOOKUP("Market Capitalization",Inputs!$B:$B,Inputs!I:I)/_xlfn.XLOOKUP("Shareholder's Equity",Inputs!$B:$B,Inputs!I:I),"")</f>
        <v/>
      </c>
      <c r="I11" s="11" t="str">
        <f ca="1">IFERROR(_xlfn.XLOOKUP("Market Capitalization",Inputs!$B:$B,Inputs!J:J)/_xlfn.XLOOKUP("Shareholder's Equity",Inputs!$B:$B,Inputs!J:J),"")</f>
        <v/>
      </c>
      <c r="J11" s="11" t="str">
        <f ca="1">IFERROR(_xlfn.XLOOKUP("Market Capitalization",Inputs!$B:$B,Inputs!K:K)/_xlfn.XLOOKUP("Shareholder's Equity",Inputs!$B:$B,Inputs!K:K),"")</f>
        <v/>
      </c>
      <c r="K11" s="11" t="str">
        <f ca="1">IFERROR(_xlfn.XLOOKUP("Market Capitalization",Inputs!$B:$B,Inputs!L:L)/_xlfn.XLOOKUP("Shareholder's Equity",Inputs!$B:$B,Inputs!L:L),"")</f>
        <v/>
      </c>
      <c r="L11" s="11" t="str">
        <f ca="1">IFERROR(_xlfn.XLOOKUP("Market Capitalization",Inputs!$B:$B,Inputs!M:M)/_xlfn.XLOOKUP("Shareholder's Equity",Inputs!$B:$B,Inputs!M:M),"")</f>
        <v/>
      </c>
      <c r="M11" s="11">
        <f ca="1">IFERROR(_xlfn.XLOOKUP("Market Capitalization",Inputs!$B:$B,Inputs!N:N)/_xlfn.XLOOKUP("Shareholder's Equity",Inputs!$B:$B,Inputs!N:N),"")</f>
        <v>3.8869480912673575</v>
      </c>
      <c r="N11" s="11">
        <f ca="1">IFERROR(_xlfn.XLOOKUP("Market Capitalization",Inputs!$B:$B,Inputs!O:O)/_xlfn.XLOOKUP("Shareholder's Equity",Inputs!$B:$B,Inputs!O:O),"")</f>
        <v>1.2318587707735331</v>
      </c>
      <c r="O11" s="11">
        <f ca="1">IFERROR(_xlfn.XLOOKUP("Market Capitalization",Inputs!$B:$B,Inputs!P:P)/_xlfn.XLOOKUP("Shareholder's Equity",Inputs!$B:$B,Inputs!P:P),"")</f>
        <v>5.1751626514967191</v>
      </c>
      <c r="P11" s="324">
        <f ca="1">IFERROR(_xlfn.XLOOKUP("Market Capitalization",Inputs!$B:$B,Inputs!Q:Q)/_xlfn.XLOOKUP("Shareholder's Equity",Inputs!$B:$B,Inputs!Q:Q),"")</f>
        <v>23.180825499788988</v>
      </c>
      <c r="Q11" s="331">
        <f ca="1">IFERROR(+_xlfn.XLOOKUP("Equity Value",DCF!$B:$B,DCF!AA:AA)/(_xlfn.XLOOKUP("Shareholder's Equity",Inputs!$B:$B,Inputs!$Q:$Q)+_xlfn.XLOOKUP("Net Income",DCF!$B:$B,DCF!H:H)+_xlfn.XLOOKUP("Total Payout",DCF!$B:$B,DCF!H:H)),"")</f>
        <v>-20.069771934714378</v>
      </c>
      <c r="R11" s="331">
        <f ca="1">IFERROR(+_xlfn.XLOOKUP("Equity Value",DCF!$B:$B,DCF!AB:AB)/(_xlfn.XLOOKUP("Shareholder's Equity",Inputs!$B:$B,Inputs!$Q:$Q)+_xlfn.XLOOKUP("Net Income",DCF!$B:$B,DCF!I:I)+_xlfn.XLOOKUP("Total Payout",DCF!$B:$B,DCF!I:I)),"")</f>
        <v>-490.16913305589185</v>
      </c>
    </row>
    <row r="12" spans="2:19" ht="8.1" customHeight="1">
      <c r="B12" s="227"/>
      <c r="N12" s="228"/>
      <c r="O12" s="228"/>
      <c r="P12" s="327"/>
      <c r="Q12" s="332"/>
      <c r="R12" s="332"/>
    </row>
    <row r="13" spans="2:19" ht="15.75">
      <c r="B13" s="7" t="s">
        <v>215</v>
      </c>
      <c r="C13" s="47"/>
      <c r="D13" s="49"/>
      <c r="E13" s="49"/>
      <c r="F13" s="346">
        <v>2014</v>
      </c>
      <c r="G13" s="346">
        <f t="shared" ref="G13" si="5">+F13+1</f>
        <v>2015</v>
      </c>
      <c r="H13" s="346">
        <f t="shared" ref="H13" si="6">+G13+1</f>
        <v>2016</v>
      </c>
      <c r="I13" s="346">
        <f t="shared" ref="I13" si="7">+H13+1</f>
        <v>2017</v>
      </c>
      <c r="J13" s="346">
        <f t="shared" ref="J13" si="8">+I13+1</f>
        <v>2018</v>
      </c>
      <c r="K13" s="346">
        <f t="shared" ref="K13" si="9">+J13+1</f>
        <v>2019</v>
      </c>
      <c r="L13" s="346">
        <f t="shared" ref="L13" si="10">+K13+1</f>
        <v>2020</v>
      </c>
      <c r="M13" s="346">
        <f t="shared" ref="M13" si="11">+L13+1</f>
        <v>2021</v>
      </c>
      <c r="N13" s="346">
        <v>2022</v>
      </c>
      <c r="O13" s="346">
        <f t="shared" ref="O13" si="12">+N13+1</f>
        <v>2023</v>
      </c>
      <c r="P13" s="347">
        <f>+O13+1</f>
        <v>2024</v>
      </c>
      <c r="Q13" s="345">
        <f>+P13+1</f>
        <v>2025</v>
      </c>
      <c r="R13" s="345">
        <f>+Q13+1</f>
        <v>2026</v>
      </c>
    </row>
    <row r="14" spans="2:19" ht="3.95" customHeight="1">
      <c r="B14" s="225"/>
      <c r="C14" s="44"/>
      <c r="D14" s="50"/>
      <c r="E14" s="50"/>
      <c r="F14" s="50"/>
      <c r="G14" s="50"/>
      <c r="H14" s="50"/>
      <c r="I14" s="50"/>
      <c r="J14" s="50"/>
      <c r="K14" s="50"/>
      <c r="L14" s="50"/>
      <c r="M14" s="50"/>
      <c r="N14" s="200"/>
      <c r="O14" s="200"/>
      <c r="P14" s="326"/>
      <c r="Q14" s="200"/>
      <c r="R14" s="200"/>
    </row>
    <row r="15" spans="2:19" ht="15">
      <c r="B15" s="226" t="s">
        <v>31</v>
      </c>
      <c r="F15" s="230" t="str">
        <f>+IFERROR(_xlfn.XLOOKUP("Net Income",Inputs!$B:$B,Inputs!G:G)/_xlfn.XLOOKUP("Total Assets",Inputs!$B:$B,Inputs!G:G),"")</f>
        <v/>
      </c>
      <c r="G15" s="230" t="str">
        <f>+IFERROR(_xlfn.XLOOKUP("Net Income",Inputs!$B:$B,Inputs!H:H)/_xlfn.XLOOKUP("Total Assets",Inputs!$B:$B,Inputs!H:H),"")</f>
        <v/>
      </c>
      <c r="H15" s="230" t="str">
        <f>+IFERROR(_xlfn.XLOOKUP("Net Income",Inputs!$B:$B,Inputs!I:I)/_xlfn.XLOOKUP("Total Assets",Inputs!$B:$B,Inputs!I:I),"")</f>
        <v/>
      </c>
      <c r="I15" s="230" t="str">
        <f>+IFERROR(_xlfn.XLOOKUP("Net Income",Inputs!$B:$B,Inputs!J:J)/_xlfn.XLOOKUP("Total Assets",Inputs!$B:$B,Inputs!J:J),"")</f>
        <v/>
      </c>
      <c r="J15" s="230" t="str">
        <f>+IFERROR(_xlfn.XLOOKUP("Net Income",Inputs!$B:$B,Inputs!K:K)/_xlfn.XLOOKUP("Total Assets",Inputs!$B:$B,Inputs!K:K),"")</f>
        <v/>
      </c>
      <c r="K15" s="230" t="str">
        <f>+IFERROR(_xlfn.XLOOKUP("Net Income",Inputs!$B:$B,Inputs!L:L)/_xlfn.XLOOKUP("Total Assets",Inputs!$B:$B,Inputs!L:L),"")</f>
        <v/>
      </c>
      <c r="L15" s="230">
        <f>+IFERROR(_xlfn.XLOOKUP("Net Income",Inputs!$B:$B,Inputs!M:M)/_xlfn.XLOOKUP("Total Assets",Inputs!$B:$B,Inputs!M:M),"")</f>
        <v>-0.25503488871986507</v>
      </c>
      <c r="M15" s="230">
        <f>+IFERROR(_xlfn.XLOOKUP("Net Income",Inputs!$B:$B,Inputs!N:N)/_xlfn.XLOOKUP("Total Assets",Inputs!$B:$B,Inputs!N:N),"")</f>
        <v>-0.16539154055586361</v>
      </c>
      <c r="N15" s="230">
        <f>+IFERROR(_xlfn.XLOOKUP("Net Income",Inputs!$B:$B,Inputs!O:O)/_xlfn.XLOOKUP("Total Assets",Inputs!$B:$B,Inputs!O:O),"")</f>
        <v>-8.1123158838245321E-2</v>
      </c>
      <c r="O15" s="230">
        <f>+IFERROR(_xlfn.XLOOKUP("Net Income",Inputs!$B:$B,Inputs!P:P)/_xlfn.XLOOKUP("Total Assets",Inputs!$B:$B,Inputs!P:P),"")</f>
        <v>-0.28491464287004592</v>
      </c>
      <c r="P15" s="328">
        <f>+IFERROR(_xlfn.XLOOKUP("Net Income",Inputs!$B:$B,Inputs!Q:Q)/_xlfn.XLOOKUP("Total Assets",Inputs!$B:$B,Inputs!Q:Q),"")</f>
        <v>-0.6522342364493261</v>
      </c>
      <c r="Q15" s="333">
        <f ca="1">IFERROR(_xlfn.XLOOKUP("Net Income",DCF!$B:$B,DCF!H:H)/_xlfn.XLOOKUP("Total assets",DCF!$6:$6,DCF!10:10),"")</f>
        <v>-0.95331909240286361</v>
      </c>
      <c r="R15" s="333">
        <f ca="1">IFERROR(_xlfn.XLOOKUP("Net Income",DCF!$B:$B,DCF!I:I)/_xlfn.XLOOKUP("Total assets",DCF!$6:$6,DCF!10:10),"")</f>
        <v>-1.2822844075511581</v>
      </c>
      <c r="S15" s="14"/>
    </row>
    <row r="16" spans="2:19" ht="15">
      <c r="B16" s="850" t="s">
        <v>33</v>
      </c>
      <c r="F16" s="230" t="str">
        <f>IFERROR(_xlfn.XLOOKUP("Net Income",Inputs!$B:$B,Inputs!G:G)/_xlfn.XLOOKUP("Shareholder's Equity",Inputs!$B:$B,Inputs!G:G),"")</f>
        <v/>
      </c>
      <c r="G16" s="230" t="str">
        <f>IFERROR(_xlfn.XLOOKUP("Net Income",Inputs!$B:$B,Inputs!H:H)/_xlfn.XLOOKUP("Shareholder's Equity",Inputs!$B:$B,Inputs!H:H),"")</f>
        <v/>
      </c>
      <c r="H16" s="230" t="str">
        <f>IFERROR(_xlfn.XLOOKUP("Net Income",Inputs!$B:$B,Inputs!I:I)/_xlfn.XLOOKUP("Shareholder's Equity",Inputs!$B:$B,Inputs!I:I),"")</f>
        <v/>
      </c>
      <c r="I16" s="230" t="str">
        <f>IFERROR(_xlfn.XLOOKUP("Net Income",Inputs!$B:$B,Inputs!J:J)/_xlfn.XLOOKUP("Shareholder's Equity",Inputs!$B:$B,Inputs!J:J),"")</f>
        <v/>
      </c>
      <c r="J16" s="230" t="str">
        <f>IFERROR(_xlfn.XLOOKUP("Net Income",Inputs!$B:$B,Inputs!K:K)/_xlfn.XLOOKUP("Shareholder's Equity",Inputs!$B:$B,Inputs!K:K),"")</f>
        <v/>
      </c>
      <c r="K16" s="230" t="str">
        <f>IFERROR(_xlfn.XLOOKUP("Net Income",Inputs!$B:$B,Inputs!L:L)/_xlfn.XLOOKUP("Shareholder's Equity",Inputs!$B:$B,Inputs!L:L),"")</f>
        <v/>
      </c>
      <c r="L16" s="230">
        <f>IFERROR(_xlfn.XLOOKUP("Net Income",Inputs!$B:$B,Inputs!M:M)/_xlfn.XLOOKUP("Shareholder's Equity",Inputs!$B:$B,Inputs!M:M),"")</f>
        <v>-0.28720928067333296</v>
      </c>
      <c r="M16" s="230">
        <f>IFERROR(_xlfn.XLOOKUP("Net Income",Inputs!$B:$B,Inputs!N:N)/_xlfn.XLOOKUP("Shareholder's Equity",Inputs!$B:$B,Inputs!N:N),"")</f>
        <v>-0.1796018469969386</v>
      </c>
      <c r="N16" s="230">
        <f>IFERROR(_xlfn.XLOOKUP("Net Income",Inputs!$B:$B,Inputs!O:O)/_xlfn.XLOOKUP("Shareholder's Equity",Inputs!$B:$B,Inputs!O:O),"")</f>
        <v>-8.5374975141276746E-2</v>
      </c>
      <c r="O16" s="230">
        <f>IFERROR(_xlfn.XLOOKUP("Net Income",Inputs!$B:$B,Inputs!P:P)/_xlfn.XLOOKUP("Shareholder's Equity",Inputs!$B:$B,Inputs!P:P),"")</f>
        <v>-0.32520618399402879</v>
      </c>
      <c r="P16" s="328">
        <f>IFERROR(_xlfn.XLOOKUP("Net Income",Inputs!$B:$B,Inputs!Q:Q)/_xlfn.XLOOKUP("Shareholder's Equity",Inputs!$B:$B,Inputs!Q:Q),"")</f>
        <v>-0.86382100598652645</v>
      </c>
      <c r="Q16" s="333">
        <f ca="1">IFERROR(_xlfn.XLOOKUP("Net Income",DCF!$B:$B,DCF!H:H)/_xlfn.XLOOKUP("Shareholder's Equity",DCF!$6:$6,DCF!10:10),"")</f>
        <v>2.1736588416185771</v>
      </c>
      <c r="R16" s="333">
        <f ca="1">IFERROR(_xlfn.XLOOKUP("Net Income",DCF!$B:$B,DCF!I:I)/_xlfn.XLOOKUP("Shareholder's Equity",DCF!$6:$6,DCF!10:10),"")</f>
        <v>2.9237312691576189</v>
      </c>
      <c r="S16" s="14"/>
    </row>
    <row r="17" spans="2:19" ht="15">
      <c r="B17" s="226" t="s">
        <v>35</v>
      </c>
      <c r="F17" s="230" t="str">
        <f>IFERROR(_xlfn.XLOOKUP("NOPAT",Inputs!$B:$B,Inputs!G:G)/(_xlfn.XLOOKUP("Shareholder's Equity",Inputs!$B:$B,Inputs!G:G)+_xlfn.XLOOKUP("Total Debt",Inputs!$B:$B,Inputs!G:G,,,-1)),"")</f>
        <v/>
      </c>
      <c r="G17" s="230" t="str">
        <f>IFERROR(_xlfn.XLOOKUP("NOPAT",Inputs!$B:$B,Inputs!H:H)/(_xlfn.XLOOKUP("Shareholder's Equity",Inputs!$B:$B,Inputs!H:H)+_xlfn.XLOOKUP("Total Debt",Inputs!$B:$B,Inputs!H:H,,,-1)),"")</f>
        <v/>
      </c>
      <c r="H17" s="230" t="str">
        <f>IFERROR(_xlfn.XLOOKUP("NOPAT",Inputs!$B:$B,Inputs!I:I)/(_xlfn.XLOOKUP("Shareholder's Equity",Inputs!$B:$B,Inputs!I:I)+_xlfn.XLOOKUP("Total Debt",Inputs!$B:$B,Inputs!I:I,,,-1)),"")</f>
        <v/>
      </c>
      <c r="I17" s="230" t="str">
        <f>IFERROR(_xlfn.XLOOKUP("NOPAT",Inputs!$B:$B,Inputs!J:J)/(_xlfn.XLOOKUP("Shareholder's Equity",Inputs!$B:$B,Inputs!J:J)+_xlfn.XLOOKUP("Total Debt",Inputs!$B:$B,Inputs!J:J,,,-1)),"")</f>
        <v/>
      </c>
      <c r="J17" s="230" t="str">
        <f>IFERROR(_xlfn.XLOOKUP("NOPAT",Inputs!$B:$B,Inputs!K:K)/(_xlfn.XLOOKUP("Shareholder's Equity",Inputs!$B:$B,Inputs!K:K)+_xlfn.XLOOKUP("Total Debt",Inputs!$B:$B,Inputs!K:K,,,-1)),"")</f>
        <v/>
      </c>
      <c r="K17" s="230" t="str">
        <f>IFERROR(_xlfn.XLOOKUP("NOPAT",Inputs!$B:$B,Inputs!L:L)/(_xlfn.XLOOKUP("Shareholder's Equity",Inputs!$B:$B,Inputs!L:L)+_xlfn.XLOOKUP("Total Debt",Inputs!$B:$B,Inputs!L:L,,,-1)),"")</f>
        <v/>
      </c>
      <c r="L17" s="230">
        <f>IFERROR(_xlfn.XLOOKUP("NOPAT",Inputs!$B:$B,Inputs!M:M)/(_xlfn.XLOOKUP("Shareholder's Equity",Inputs!$B:$B,Inputs!M:M)+_xlfn.XLOOKUP("Total Debt",Inputs!$B:$B,Inputs!M:M,,,-1)),"")</f>
        <v>-0.27138027391589331</v>
      </c>
      <c r="M17" s="230">
        <f>IFERROR(_xlfn.XLOOKUP("NOPAT",Inputs!$B:$B,Inputs!N:N)/(_xlfn.XLOOKUP("Shareholder's Equity",Inputs!$B:$B,Inputs!N:N)+_xlfn.XLOOKUP("Total Debt",Inputs!$B:$B,Inputs!N:N,,,-1)),"")</f>
        <v>-6.4972012340433399E-2</v>
      </c>
      <c r="N17" s="230">
        <f>IFERROR(_xlfn.XLOOKUP("NOPAT",Inputs!$B:$B,Inputs!O:O)/(_xlfn.XLOOKUP("Shareholder's Equity",Inputs!$B:$B,Inputs!O:O)+_xlfn.XLOOKUP("Total Debt",Inputs!$B:$B,Inputs!O:O,,,-1)),"")</f>
        <v>-0.1498372246230304</v>
      </c>
      <c r="O17" s="230">
        <f>IFERROR(_xlfn.XLOOKUP("NOPAT",Inputs!$B:$B,Inputs!P:P)/(_xlfn.XLOOKUP("Shareholder's Equity",Inputs!$B:$B,Inputs!P:P)+_xlfn.XLOOKUP("Total Debt",Inputs!$B:$B,Inputs!P:P,,,-1)),"")</f>
        <v>-0.31992368268731886</v>
      </c>
      <c r="P17" s="328">
        <f>IFERROR(_xlfn.XLOOKUP("NOPAT",Inputs!$B:$B,Inputs!Q:Q)/(_xlfn.XLOOKUP("Shareholder's Equity",Inputs!$B:$B,Inputs!Q:Q)+_xlfn.XLOOKUP("Total Debt",Inputs!$B:$B,Inputs!Q:Q,,,-1)),"")</f>
        <v>-0.57884105153080589</v>
      </c>
      <c r="Q17" s="333">
        <f ca="1">+IFERROR(_xlfn.XLOOKUP("NOPAT",DCF!$B:$B,DCF!H:H)/(_xlfn.XLOOKUP("Shareholder's Equity",DCF!$6:$6,DCF!10:10)+_xlfn.XLOOKUP("Total Borrowings",DCF!$B:$B,DCF!H:H)+_xlfn.XLOOKUP("Total Leases",DCF!$B:$B,DCF!H:H)),"")</f>
        <v>-1.580131268217112</v>
      </c>
      <c r="R17" s="333">
        <f ca="1">+IFERROR(_xlfn.XLOOKUP("NOPAT",DCF!$B:$B,DCF!I:I)/(_xlfn.XLOOKUP("Shareholder's Equity",DCF!$6:$6,DCF!10:10)+_xlfn.XLOOKUP("Total Borrowings",DCF!$B:$B,DCF!I:I)+_xlfn.XLOOKUP("Total Leases",DCF!$B:$B,DCF!I:I)),"")</f>
        <v>-1.7368600819003837</v>
      </c>
      <c r="S17" s="105"/>
    </row>
    <row r="18" spans="2:19" ht="15">
      <c r="B18" s="229" t="s">
        <v>37</v>
      </c>
      <c r="F18" s="230" t="str">
        <f>+IFERROR(_xlfn.XLOOKUP("EBITDA",Inputs!$B:$B,Inputs!G:G)/_xlfn.XLOOKUP("Revenue (Sales)",Inputs!$B:$B,Inputs!G:G),"")</f>
        <v/>
      </c>
      <c r="G18" s="230" t="str">
        <f>+IFERROR(_xlfn.XLOOKUP("EBITDA",Inputs!$B:$B,Inputs!H:H)/_xlfn.XLOOKUP("Revenue (Sales)",Inputs!$B:$B,Inputs!H:H),"")</f>
        <v/>
      </c>
      <c r="H18" s="230" t="str">
        <f>+IFERROR(_xlfn.XLOOKUP("EBITDA",Inputs!$B:$B,Inputs!I:I)/_xlfn.XLOOKUP("Revenue (Sales)",Inputs!$B:$B,Inputs!I:I),"")</f>
        <v/>
      </c>
      <c r="I18" s="230" t="str">
        <f>+IFERROR(_xlfn.XLOOKUP("EBITDA",Inputs!$B:$B,Inputs!J:J)/_xlfn.XLOOKUP("Revenue (Sales)",Inputs!$B:$B,Inputs!J:J),"")</f>
        <v/>
      </c>
      <c r="J18" s="230" t="str">
        <f>+IFERROR(_xlfn.XLOOKUP("EBITDA",Inputs!$B:$B,Inputs!K:K)/_xlfn.XLOOKUP("Revenue (Sales)",Inputs!$B:$B,Inputs!K:K),"")</f>
        <v/>
      </c>
      <c r="K18" s="230" t="str">
        <f>+IFERROR(_xlfn.XLOOKUP("EBITDA",Inputs!$B:$B,Inputs!L:L)/_xlfn.XLOOKUP("Revenue (Sales)",Inputs!$B:$B,Inputs!L:L),"")</f>
        <v/>
      </c>
      <c r="L18" s="230" t="str">
        <f>+IFERROR(_xlfn.XLOOKUP("EBITDA",Inputs!$B:$B,Inputs!M:M)/_xlfn.XLOOKUP("Revenue (Sales)",Inputs!$B:$B,Inputs!M:M),"")</f>
        <v/>
      </c>
      <c r="M18" s="230">
        <f>+IFERROR(_xlfn.XLOOKUP("EBITDA",Inputs!$B:$B,Inputs!N:N)/_xlfn.XLOOKUP("Revenue (Sales)",Inputs!$B:$B,Inputs!N:N),"")</f>
        <v>-17.217246307765603</v>
      </c>
      <c r="N18" s="230">
        <f>+IFERROR(_xlfn.XLOOKUP("EBITDA",Inputs!$B:$B,Inputs!O:O)/_xlfn.XLOOKUP("Revenue (Sales)",Inputs!$B:$B,Inputs!O:O),"")</f>
        <v>-7.1998921929745752</v>
      </c>
      <c r="O18" s="230">
        <f>+IFERROR(_xlfn.XLOOKUP("EBITDA",Inputs!$B:$B,Inputs!P:P)/_xlfn.XLOOKUP("Revenue (Sales)",Inputs!$B:$B,Inputs!P:P),"")</f>
        <v>-6.686280736775247</v>
      </c>
      <c r="P18" s="328">
        <f>+IFERROR(_xlfn.XLOOKUP("EBITDA",Inputs!$B:$B,Inputs!Q:Q)/_xlfn.XLOOKUP("Revenue (Sales)",Inputs!$B:$B,Inputs!Q:Q),"")</f>
        <v>-4.9636895502983309</v>
      </c>
      <c r="Q18" s="333">
        <f ca="1">+_xlfn.XLOOKUP("EBITDA Margin",DCF!$B:$B,DCF!H:H)</f>
        <v>-3.8090124614027339</v>
      </c>
      <c r="R18" s="333">
        <f ca="1">+_xlfn.XLOOKUP("EBITDA Margin",DCF!$B:$B,DCF!I:I)</f>
        <v>-2.8756961750436751</v>
      </c>
      <c r="S18" s="23"/>
    </row>
    <row r="19" spans="2:19" ht="15">
      <c r="B19" s="13" t="s">
        <v>26</v>
      </c>
      <c r="F19" s="230" t="str">
        <f>IFERROR(_xlfn.XLOOKUP("Operating Income (EBIT)",Inputs!$B:$B,Inputs!G:G)/_xlfn.XLOOKUP("Revenue (Sales)",Inputs!$B:$B,Inputs!G:G),"")</f>
        <v/>
      </c>
      <c r="G19" s="230" t="str">
        <f>IFERROR(_xlfn.XLOOKUP("Operating Income (EBIT)",Inputs!$B:$B,Inputs!H:H)/_xlfn.XLOOKUP("Revenue (Sales)",Inputs!$B:$B,Inputs!H:H),"")</f>
        <v/>
      </c>
      <c r="H19" s="230" t="str">
        <f>IFERROR(_xlfn.XLOOKUP("Operating Income (EBIT)",Inputs!$B:$B,Inputs!I:I)/_xlfn.XLOOKUP("Revenue (Sales)",Inputs!$B:$B,Inputs!I:I),"")</f>
        <v/>
      </c>
      <c r="I19" s="230" t="str">
        <f>IFERROR(_xlfn.XLOOKUP("Operating Income (EBIT)",Inputs!$B:$B,Inputs!J:J)/_xlfn.XLOOKUP("Revenue (Sales)",Inputs!$B:$B,Inputs!J:J),"")</f>
        <v/>
      </c>
      <c r="J19" s="230" t="str">
        <f>IFERROR(_xlfn.XLOOKUP("Operating Income (EBIT)",Inputs!$B:$B,Inputs!K:K)/_xlfn.XLOOKUP("Revenue (Sales)",Inputs!$B:$B,Inputs!K:K),"")</f>
        <v/>
      </c>
      <c r="K19" s="230" t="str">
        <f>IFERROR(_xlfn.XLOOKUP("Operating Income (EBIT)",Inputs!$B:$B,Inputs!L:L)/_xlfn.XLOOKUP("Revenue (Sales)",Inputs!$B:$B,Inputs!L:L),"")</f>
        <v/>
      </c>
      <c r="L19" s="230" t="str">
        <f>IFERROR(_xlfn.XLOOKUP("Operating Income (EBIT)",Inputs!$B:$B,Inputs!M:M)/_xlfn.XLOOKUP("Revenue (Sales)",Inputs!$B:$B,Inputs!M:M),"")</f>
        <v/>
      </c>
      <c r="M19" s="230">
        <f>IFERROR(_xlfn.XLOOKUP("Operating Income (EBIT)",Inputs!$B:$B,Inputs!N:N)/_xlfn.XLOOKUP("Revenue (Sales)",Inputs!$B:$B,Inputs!N:N),"")</f>
        <v>-18.431157694140065</v>
      </c>
      <c r="N19" s="230">
        <f>IFERROR(_xlfn.XLOOKUP("Operating Income (EBIT)",Inputs!$B:$B,Inputs!O:O)/_xlfn.XLOOKUP("Revenue (Sales)",Inputs!$B:$B,Inputs!O:O),"")</f>
        <v>-7.7033510017069444</v>
      </c>
      <c r="O19" s="230">
        <f>IFERROR(_xlfn.XLOOKUP("Operating Income (EBIT)",Inputs!$B:$B,Inputs!P:P)/_xlfn.XLOOKUP("Revenue (Sales)",Inputs!$B:$B,Inputs!P:P),"")</f>
        <v>-7.1569730514472374</v>
      </c>
      <c r="P19" s="328">
        <f>IFERROR(_xlfn.XLOOKUP("Operating Income (EBIT)",Inputs!$B:$B,Inputs!Q:Q)/_xlfn.XLOOKUP("Revenue (Sales)",Inputs!$B:$B,Inputs!Q:Q),"")</f>
        <v>-5.3967682771109509</v>
      </c>
      <c r="Q19" s="333">
        <f ca="1">+_xlfn.XLOOKUP("Operating Margin",DCF!$B:$B,DCF!H:H)</f>
        <v>-4.1258410762906035</v>
      </c>
      <c r="R19" s="333">
        <f ca="1">+_xlfn.XLOOKUP("Operating Margin",DCF!$B:$B,DCF!I:I)</f>
        <v>-3.1611425685892711</v>
      </c>
      <c r="S19" s="13"/>
    </row>
    <row r="20" spans="2:19" ht="15">
      <c r="B20" s="13" t="s">
        <v>542</v>
      </c>
      <c r="F20" s="230" t="str">
        <f>IFERROR(_xlfn.XLOOKUP("Pre-Tax Income (EBT)",Inputs!$B:$B,Inputs!G:G)/_xlfn.XLOOKUP("Revenue (Sales)",Inputs!$B:$B,Inputs!G:G),"")</f>
        <v/>
      </c>
      <c r="G20" s="230" t="str">
        <f>IFERROR(_xlfn.XLOOKUP("Pre-Tax Income (EBT)",Inputs!$B:$B,Inputs!H:H)/_xlfn.XLOOKUP("Revenue (Sales)",Inputs!$B:$B,Inputs!H:H),"")</f>
        <v/>
      </c>
      <c r="H20" s="230" t="str">
        <f>IFERROR(_xlfn.XLOOKUP("Pre-Tax Income (EBT)",Inputs!$B:$B,Inputs!I:I)/_xlfn.XLOOKUP("Revenue (Sales)",Inputs!$B:$B,Inputs!I:I),"")</f>
        <v/>
      </c>
      <c r="I20" s="230" t="str">
        <f>IFERROR(_xlfn.XLOOKUP("Pre-Tax Income (EBT)",Inputs!$B:$B,Inputs!J:J)/_xlfn.XLOOKUP("Revenue (Sales)",Inputs!$B:$B,Inputs!J:J),"")</f>
        <v/>
      </c>
      <c r="J20" s="230" t="str">
        <f>IFERROR(_xlfn.XLOOKUP("Pre-Tax Income (EBT)",Inputs!$B:$B,Inputs!K:K)/_xlfn.XLOOKUP("Revenue (Sales)",Inputs!$B:$B,Inputs!K:K),"")</f>
        <v/>
      </c>
      <c r="K20" s="230" t="str">
        <f>IFERROR(_xlfn.XLOOKUP("Pre-Tax Income (EBT)",Inputs!$B:$B,Inputs!L:L)/_xlfn.XLOOKUP("Revenue (Sales)",Inputs!$B:$B,Inputs!L:L),"")</f>
        <v/>
      </c>
      <c r="L20" s="230" t="str">
        <f>IFERROR(_xlfn.XLOOKUP("Pre-Tax Income (EBT)",Inputs!$B:$B,Inputs!M:M)/_xlfn.XLOOKUP("Revenue (Sales)",Inputs!$B:$B,Inputs!M:M),"")</f>
        <v/>
      </c>
      <c r="M20" s="230">
        <f>IFERROR(_xlfn.XLOOKUP("Pre-Tax Income (EBT)",Inputs!$B:$B,Inputs!N:N)/_xlfn.XLOOKUP("Revenue (Sales)",Inputs!$B:$B,Inputs!N:N),"")</f>
        <v>-50.588851834206764</v>
      </c>
      <c r="N20" s="230">
        <f>IFERROR(_xlfn.XLOOKUP("Pre-Tax Income (EBT)",Inputs!$B:$B,Inputs!O:O)/_xlfn.XLOOKUP("Revenue (Sales)",Inputs!$B:$B,Inputs!O:O),"")</f>
        <v>-4.3581888419728685</v>
      </c>
      <c r="O20" s="230">
        <f>IFERROR(_xlfn.XLOOKUP("Pre-Tax Income (EBT)",Inputs!$B:$B,Inputs!P:P)/_xlfn.XLOOKUP("Revenue (Sales)",Inputs!$B:$B,Inputs!P:P),"")</f>
        <v>-7.1555666454949645</v>
      </c>
      <c r="P20" s="328">
        <f>IFERROR(_xlfn.XLOOKUP("Pre-Tax Income (EBT)",Inputs!$B:$B,Inputs!Q:Q)/_xlfn.XLOOKUP("Revenue (Sales)",Inputs!$B:$B,Inputs!Q:Q),"")</f>
        <v>-7.6982796647551828</v>
      </c>
      <c r="Q20" s="333">
        <f ca="1">IFERROR(_xlfn.XLOOKUP("Pre-Tax Income (EBT)",DCF!$B:$B,DCF!H:H)/_xlfn.XLOOKUP("Revenue (Sales)",DCF!$B:$B,DCF!H:H),"")</f>
        <v>-4.9502631813989844</v>
      </c>
      <c r="R20" s="333">
        <f ca="1">IFERROR(_xlfn.XLOOKUP("Pre-Tax Income (EBT)",DCF!$B:$B,DCF!I:I)/_xlfn.XLOOKUP("Revenue (Sales)",DCF!$B:$B,DCF!I:I),"")</f>
        <v>-4.0970030715596799</v>
      </c>
      <c r="S20" s="13"/>
    </row>
    <row r="21" spans="2:19" ht="15">
      <c r="B21" s="13" t="s">
        <v>39</v>
      </c>
      <c r="F21" s="230" t="str">
        <f>IFERROR(_xlfn.XLOOKUP("Gross Profit",Inputs!$B:$B,Inputs!G:G)/_xlfn.XLOOKUP("Revenue (Sales)",Inputs!$B:$B,Inputs!G:G),"")</f>
        <v/>
      </c>
      <c r="G21" s="230" t="str">
        <f>IFERROR(_xlfn.XLOOKUP("Gross Profit",Inputs!$B:$B,Inputs!H:H)/_xlfn.XLOOKUP("Revenue (Sales)",Inputs!$B:$B,Inputs!H:H),"")</f>
        <v/>
      </c>
      <c r="H21" s="230" t="str">
        <f>IFERROR(_xlfn.XLOOKUP("Gross Profit",Inputs!$B:$B,Inputs!I:I)/_xlfn.XLOOKUP("Revenue (Sales)",Inputs!$B:$B,Inputs!I:I),"")</f>
        <v/>
      </c>
      <c r="I21" s="230" t="str">
        <f>IFERROR(_xlfn.XLOOKUP("Gross Profit",Inputs!$B:$B,Inputs!J:J)/_xlfn.XLOOKUP("Revenue (Sales)",Inputs!$B:$B,Inputs!J:J),"")</f>
        <v/>
      </c>
      <c r="J21" s="230" t="str">
        <f>IFERROR(_xlfn.XLOOKUP("Gross Profit",Inputs!$B:$B,Inputs!K:K)/_xlfn.XLOOKUP("Revenue (Sales)",Inputs!$B:$B,Inputs!K:K),"")</f>
        <v/>
      </c>
      <c r="K21" s="230" t="str">
        <f>IFERROR(_xlfn.XLOOKUP("Gross Profit",Inputs!$B:$B,Inputs!L:L)/_xlfn.XLOOKUP("Revenue (Sales)",Inputs!$B:$B,Inputs!L:L),"")</f>
        <v/>
      </c>
      <c r="L21" s="230" t="str">
        <f>IFERROR(_xlfn.XLOOKUP("Gross Profit",Inputs!$B:$B,Inputs!M:M)/_xlfn.XLOOKUP("Revenue (Sales)",Inputs!$B:$B,Inputs!M:M),"")</f>
        <v/>
      </c>
      <c r="M21" s="230">
        <f>IFERROR(_xlfn.XLOOKUP("Gross Profit",Inputs!$B:$B,Inputs!N:N)/_xlfn.XLOOKUP("Revenue (Sales)",Inputs!$B:$B,Inputs!N:N),"")</f>
        <v>0.50452596474511668</v>
      </c>
      <c r="N21" s="230">
        <f>IFERROR(_xlfn.XLOOKUP("Gross Profit",Inputs!$B:$B,Inputs!O:O)/_xlfn.XLOOKUP("Revenue (Sales)",Inputs!$B:$B,Inputs!O:O),"")</f>
        <v>0.73551343095858412</v>
      </c>
      <c r="O21" s="230">
        <f>IFERROR(_xlfn.XLOOKUP("Gross Profit",Inputs!$B:$B,Inputs!P:P)/_xlfn.XLOOKUP("Revenue (Sales)",Inputs!$B:$B,Inputs!P:P),"")</f>
        <v>0.6321567915797115</v>
      </c>
      <c r="P21" s="328">
        <f>IFERROR(_xlfn.XLOOKUP("Gross Profit",Inputs!$B:$B,Inputs!Q:Q)/_xlfn.XLOOKUP("Revenue (Sales)",Inputs!$B:$B,Inputs!Q:Q),"")</f>
        <v>0.52181180786107306</v>
      </c>
      <c r="Q21" s="333">
        <f ca="1">+_xlfn.XLOOKUP("Gross Profit Margin",DCF!$B:$B,DCF!H:H)</f>
        <v>0.52181180786107306</v>
      </c>
      <c r="R21" s="333">
        <f ca="1">+_xlfn.XLOOKUP("Gross Profit Margin",DCF!$B:$B,DCF!I:I)</f>
        <v>0.52181180786107306</v>
      </c>
      <c r="S21" s="13"/>
    </row>
    <row r="22" spans="2:19" ht="15">
      <c r="B22" s="13" t="s">
        <v>41</v>
      </c>
      <c r="F22" s="230" t="str">
        <f>IFERROR(+_xlfn.XLOOKUP("SG&amp;A (Selling, General &amp; Administrative)",Inputs!$B:$B,Inputs!G:G)/_xlfn.XLOOKUP("Revenue (Sales)",Inputs!$B:$B,Inputs!G:G),"")</f>
        <v/>
      </c>
      <c r="G22" s="230" t="str">
        <f>IFERROR(+_xlfn.XLOOKUP("SG&amp;A (Selling, General &amp; Administrative)",Inputs!$B:$B,Inputs!H:H)/_xlfn.XLOOKUP("Revenue (Sales)",Inputs!$B:$B,Inputs!H:H),"")</f>
        <v/>
      </c>
      <c r="H22" s="230" t="str">
        <f>IFERROR(+_xlfn.XLOOKUP("SG&amp;A (Selling, General &amp; Administrative)",Inputs!$B:$B,Inputs!I:I)/_xlfn.XLOOKUP("Revenue (Sales)",Inputs!$B:$B,Inputs!I:I),"")</f>
        <v/>
      </c>
      <c r="I22" s="230" t="str">
        <f>IFERROR(+_xlfn.XLOOKUP("SG&amp;A (Selling, General &amp; Administrative)",Inputs!$B:$B,Inputs!J:J)/_xlfn.XLOOKUP("Revenue (Sales)",Inputs!$B:$B,Inputs!J:J),"")</f>
        <v/>
      </c>
      <c r="J22" s="230" t="str">
        <f>IFERROR(+_xlfn.XLOOKUP("SG&amp;A (Selling, General &amp; Administrative)",Inputs!$B:$B,Inputs!K:K)/_xlfn.XLOOKUP("Revenue (Sales)",Inputs!$B:$B,Inputs!K:K),"")</f>
        <v/>
      </c>
      <c r="K22" s="230" t="str">
        <f>IFERROR(+_xlfn.XLOOKUP("SG&amp;A (Selling, General &amp; Administrative)",Inputs!$B:$B,Inputs!L:L)/_xlfn.XLOOKUP("Revenue (Sales)",Inputs!$B:$B,Inputs!L:L),"")</f>
        <v/>
      </c>
      <c r="L22" s="230" t="str">
        <f>IFERROR(+_xlfn.XLOOKUP("SG&amp;A (Selling, General &amp; Administrative)",Inputs!$B:$B,Inputs!M:M)/_xlfn.XLOOKUP("Revenue (Sales)",Inputs!$B:$B,Inputs!M:M),"")</f>
        <v/>
      </c>
      <c r="M22" s="230">
        <f>IFERROR(+_xlfn.XLOOKUP("SG&amp;A (Selling, General &amp; Administrative)",Inputs!$B:$B,Inputs!N:N)/_xlfn.XLOOKUP("Revenue (Sales)",Inputs!$B:$B,Inputs!N:N),"")</f>
        <v>8.0848022868032388</v>
      </c>
      <c r="N22" s="230">
        <f>IFERROR(+_xlfn.XLOOKUP("SG&amp;A (Selling, General &amp; Administrative)",Inputs!$B:$B,Inputs!O:O)/_xlfn.XLOOKUP("Revenue (Sales)",Inputs!$B:$B,Inputs!O:O),"")</f>
        <v>3.9844578205013028</v>
      </c>
      <c r="O22" s="230">
        <f>IFERROR(+_xlfn.XLOOKUP("SG&amp;A (Selling, General &amp; Administrative)",Inputs!$B:$B,Inputs!P:P)/_xlfn.XLOOKUP("Revenue (Sales)",Inputs!$B:$B,Inputs!P:P),"")</f>
        <v>3.13002449868433</v>
      </c>
      <c r="P22" s="328">
        <f>IFERROR(+_xlfn.XLOOKUP("SG&amp;A (Selling, General &amp; Administrative)",Inputs!$B:$B,Inputs!Q:Q)/_xlfn.XLOOKUP("Revenue (Sales)",Inputs!$B:$B,Inputs!Q:Q),"")</f>
        <v>2.3088709864648389</v>
      </c>
      <c r="Q22" s="333" t="e">
        <f ca="1">+_xlfn.XLOOKUP("SG&amp;A Margin",DCF!$B:$B,DCF!H:H)</f>
        <v>#N/A</v>
      </c>
      <c r="R22" s="333" t="e">
        <f ca="1">+_xlfn.XLOOKUP("SG&amp;A Margin",DCF!$B:$B,DCF!I:I)</f>
        <v>#N/A</v>
      </c>
    </row>
    <row r="23" spans="2:19" ht="15">
      <c r="B23" s="13" t="s">
        <v>43</v>
      </c>
      <c r="F23" s="230" t="str">
        <f>IFERROR(_xlfn.XLOOKUP("Net Income",Inputs!$B:$B,Inputs!G:G)/_xlfn.XLOOKUP("Revenue (Sales)",Inputs!$B:$B,Inputs!G:G),"")</f>
        <v/>
      </c>
      <c r="G23" s="230" t="str">
        <f>IFERROR(_xlfn.XLOOKUP("Net Income",Inputs!$B:$B,Inputs!H:H)/_xlfn.XLOOKUP("Revenue (Sales)",Inputs!$B:$B,Inputs!H:H),"")</f>
        <v/>
      </c>
      <c r="H23" s="230" t="str">
        <f>IFERROR(_xlfn.XLOOKUP("Net Income",Inputs!$B:$B,Inputs!I:I)/_xlfn.XLOOKUP("Revenue (Sales)",Inputs!$B:$B,Inputs!I:I),"")</f>
        <v/>
      </c>
      <c r="I23" s="230" t="str">
        <f>IFERROR(_xlfn.XLOOKUP("Net Income",Inputs!$B:$B,Inputs!J:J)/_xlfn.XLOOKUP("Revenue (Sales)",Inputs!$B:$B,Inputs!J:J),"")</f>
        <v/>
      </c>
      <c r="J23" s="230" t="str">
        <f>IFERROR(_xlfn.XLOOKUP("Net Income",Inputs!$B:$B,Inputs!K:K)/_xlfn.XLOOKUP("Revenue (Sales)",Inputs!$B:$B,Inputs!K:K),"")</f>
        <v/>
      </c>
      <c r="K23" s="230" t="str">
        <f>IFERROR(_xlfn.XLOOKUP("Net Income",Inputs!$B:$B,Inputs!L:L)/_xlfn.XLOOKUP("Revenue (Sales)",Inputs!$B:$B,Inputs!L:L),"")</f>
        <v/>
      </c>
      <c r="L23" s="230" t="str">
        <f>IFERROR(_xlfn.XLOOKUP("Net Income",Inputs!$B:$B,Inputs!M:M)/_xlfn.XLOOKUP("Revenue (Sales)",Inputs!$B:$B,Inputs!M:M),"")</f>
        <v/>
      </c>
      <c r="M23" s="230">
        <f>IFERROR(_xlfn.XLOOKUP("Net Income",Inputs!$B:$B,Inputs!N:N)/_xlfn.XLOOKUP("Revenue (Sales)",Inputs!$B:$B,Inputs!N:N),"")</f>
        <v>-50.588851834206764</v>
      </c>
      <c r="N23" s="230">
        <f>IFERROR(_xlfn.XLOOKUP("Net Income",Inputs!$B:$B,Inputs!O:O)/_xlfn.XLOOKUP("Revenue (Sales)",Inputs!$B:$B,Inputs!O:O),"")</f>
        <v>-4.3581888419728685</v>
      </c>
      <c r="O23" s="230">
        <f>IFERROR(_xlfn.XLOOKUP("Net Income",Inputs!$B:$B,Inputs!P:P)/_xlfn.XLOOKUP("Revenue (Sales)",Inputs!$B:$B,Inputs!P:P),"")</f>
        <v>-7.1555688231557939</v>
      </c>
      <c r="P23" s="328">
        <f>IFERROR(_xlfn.XLOOKUP("Net Income",Inputs!$B:$B,Inputs!Q:Q)/_xlfn.XLOOKUP("Revenue (Sales)",Inputs!$B:$B,Inputs!Q:Q),"")</f>
        <v>-7.698281034522787</v>
      </c>
      <c r="Q23" s="333">
        <f ca="1">+_xlfn.XLOOKUP("Net Income Margin",DCF!$B:$B,DCF!H:H)</f>
        <v>-4.0838365553779585</v>
      </c>
      <c r="R23" s="333">
        <f ca="1">+_xlfn.XLOOKUP("Net Income Margin",DCF!$B:$B,DCF!I:I)</f>
        <v>-3.4331631321559337</v>
      </c>
    </row>
    <row r="24" spans="2:19" ht="8.1" customHeight="1">
      <c r="N24" s="231"/>
      <c r="O24" s="231"/>
      <c r="P24" s="329"/>
      <c r="Q24" s="334"/>
      <c r="R24" s="334"/>
    </row>
    <row r="25" spans="2:19" ht="15.75">
      <c r="B25" s="7" t="s">
        <v>226</v>
      </c>
      <c r="C25" s="47"/>
      <c r="D25" s="49"/>
      <c r="E25" s="49"/>
      <c r="F25" s="346">
        <v>2014</v>
      </c>
      <c r="G25" s="346">
        <f t="shared" ref="G25" si="13">+F25+1</f>
        <v>2015</v>
      </c>
      <c r="H25" s="346">
        <f t="shared" ref="H25" si="14">+G25+1</f>
        <v>2016</v>
      </c>
      <c r="I25" s="346">
        <f t="shared" ref="I25" si="15">+H25+1</f>
        <v>2017</v>
      </c>
      <c r="J25" s="346">
        <f t="shared" ref="J25" si="16">+I25+1</f>
        <v>2018</v>
      </c>
      <c r="K25" s="346">
        <f t="shared" ref="K25" si="17">+J25+1</f>
        <v>2019</v>
      </c>
      <c r="L25" s="346">
        <f t="shared" ref="L25" si="18">+K25+1</f>
        <v>2020</v>
      </c>
      <c r="M25" s="346">
        <f t="shared" ref="M25" si="19">+L25+1</f>
        <v>2021</v>
      </c>
      <c r="N25" s="346">
        <v>2022</v>
      </c>
      <c r="O25" s="346">
        <f t="shared" ref="O25" si="20">+N25+1</f>
        <v>2023</v>
      </c>
      <c r="P25" s="347">
        <f>+O25+1</f>
        <v>2024</v>
      </c>
      <c r="Q25" s="345">
        <f>+P25+1</f>
        <v>2025</v>
      </c>
      <c r="R25" s="345">
        <f>+Q25+1</f>
        <v>2026</v>
      </c>
    </row>
    <row r="26" spans="2:19" ht="3.95" customHeight="1">
      <c r="B26" s="225"/>
      <c r="C26" s="44"/>
      <c r="D26" s="50"/>
      <c r="E26" s="50"/>
      <c r="F26" s="50"/>
      <c r="G26" s="50"/>
      <c r="H26" s="50"/>
      <c r="I26" s="50"/>
      <c r="J26" s="50"/>
      <c r="K26" s="50"/>
      <c r="L26" s="50"/>
      <c r="M26" s="50"/>
      <c r="N26" s="200"/>
      <c r="O26" s="200"/>
      <c r="P26" s="326"/>
      <c r="Q26" s="200"/>
      <c r="R26" s="200"/>
    </row>
    <row r="27" spans="2:19" ht="15" customHeight="1">
      <c r="B27" s="851" t="s">
        <v>51</v>
      </c>
      <c r="C27" s="105"/>
      <c r="D27" s="220"/>
      <c r="F27" s="11" t="str">
        <f>+IFERROR(_xlfn.XLOOKUP("Cash &amp; Cash Equivalents",Inputs!$B:$B,Inputs!G:G)/_xlfn.XLOOKUP("Current Liabilities",Inputs!$B:$B,Inputs!G:G),"")</f>
        <v/>
      </c>
      <c r="G27" s="11" t="str">
        <f>+IFERROR(_xlfn.XLOOKUP("Cash &amp; Cash Equivalents",Inputs!$B:$B,Inputs!H:H)/_xlfn.XLOOKUP("Current Liabilities",Inputs!$B:$B,Inputs!H:H),"")</f>
        <v/>
      </c>
      <c r="H27" s="11" t="str">
        <f>+IFERROR(_xlfn.XLOOKUP("Cash &amp; Cash Equivalents",Inputs!$B:$B,Inputs!I:I)/_xlfn.XLOOKUP("Current Liabilities",Inputs!$B:$B,Inputs!I:I),"")</f>
        <v/>
      </c>
      <c r="I27" s="11" t="str">
        <f>+IFERROR(_xlfn.XLOOKUP("Cash &amp; Cash Equivalents",Inputs!$B:$B,Inputs!J:J)/_xlfn.XLOOKUP("Current Liabilities",Inputs!$B:$B,Inputs!J:J),"")</f>
        <v/>
      </c>
      <c r="J27" s="11" t="str">
        <f>+IFERROR(_xlfn.XLOOKUP("Cash &amp; Cash Equivalents",Inputs!$B:$B,Inputs!K:K)/_xlfn.XLOOKUP("Current Liabilities",Inputs!$B:$B,Inputs!K:K),"")</f>
        <v/>
      </c>
      <c r="K27" s="11" t="str">
        <f>+IFERROR(_xlfn.XLOOKUP("Cash &amp; Cash Equivalents",Inputs!$B:$B,Inputs!L:L)/_xlfn.XLOOKUP("Current Liabilities",Inputs!$B:$B,Inputs!L:L),"")</f>
        <v/>
      </c>
      <c r="L27" s="11">
        <f>+IFERROR(_xlfn.XLOOKUP("Cash &amp; Cash Equivalents",Inputs!$B:$B,Inputs!M:M)/_xlfn.XLOOKUP("Current Liabilities",Inputs!$B:$B,Inputs!M:M),"")</f>
        <v>19.20255183413078</v>
      </c>
      <c r="M27" s="11">
        <f>+IFERROR(_xlfn.XLOOKUP("Cash &amp; Cash Equivalents",Inputs!$B:$B,Inputs!N:N)/_xlfn.XLOOKUP("Current Liabilities",Inputs!$B:$B,Inputs!N:N),"")</f>
        <v>41.174801362088537</v>
      </c>
      <c r="N27" s="11">
        <f>+IFERROR(_xlfn.XLOOKUP("Cash &amp; Cash Equivalents",Inputs!$B:$B,Inputs!O:O)/_xlfn.XLOOKUP("Current Liabilities",Inputs!$B:$B,Inputs!O:O),"")</f>
        <v>2.2007440476190476</v>
      </c>
      <c r="O27" s="11">
        <f>+IFERROR(_xlfn.XLOOKUP("Cash &amp; Cash Equivalents",Inputs!$B:$B,Inputs!P:P)/_xlfn.XLOOKUP("Current Liabilities",Inputs!$B:$B,Inputs!P:P),"")</f>
        <v>0.95966526746313641</v>
      </c>
      <c r="P27" s="324">
        <f>+IFERROR(_xlfn.XLOOKUP("Cash &amp; Cash Equivalents",Inputs!$B:$B,Inputs!Q:Q)/_xlfn.XLOOKUP("Current Liabilities",Inputs!$B:$B,Inputs!Q:Q),"")</f>
        <v>1.5073576278231953</v>
      </c>
      <c r="Q27" s="331">
        <f ca="1">+IFERROR((_xlfn.XLOOKUP("Cash &amp; Cash Equivalents &amp; ST Investments",DCF!$B:$B,DCF!H:H)-_xlfn.XLOOKUP("Short-Term Investments",Inputs!$B:$B,Inputs!$Q:$Q))/_xlfn.XLOOKUP("Current Liabilities",DCF!$6:$6,DCF!10:10),"")</f>
        <v>-3.9720603090172037</v>
      </c>
      <c r="R27" s="331">
        <f ca="1">+IFERROR((_xlfn.XLOOKUP("Cash &amp; Cash Equivalents &amp; ST Investments",DCF!$B:$B,DCF!I:I)-_xlfn.XLOOKUP("Short-Term Investments",Inputs!$B:$B,Inputs!$Q:$Q))/_xlfn.XLOOKUP("Current Liabilities",DCF!$6:$6,DCF!10:10),"")</f>
        <v>-12.715982606784904</v>
      </c>
    </row>
    <row r="28" spans="2:19" ht="15">
      <c r="B28" s="849" t="s">
        <v>54</v>
      </c>
      <c r="F28" s="11" t="str">
        <f>IFERROR((_xlfn.XLOOKUP("Cash &amp; Cash Equivalents &amp; ST Investments",Inputs!$B:$B,Inputs!G:G)+_xlfn.XLOOKUP("Accounts Receivable",Inputs!$B:$B,Inputs!G:G))/_xlfn.XLOOKUP("Current Liabilities",Inputs!$B:$B,Inputs!G:G),"")</f>
        <v/>
      </c>
      <c r="G28" s="11" t="str">
        <f>IFERROR((_xlfn.XLOOKUP("Cash &amp; Cash Equivalents &amp; ST Investments",Inputs!$B:$B,Inputs!H:H)+_xlfn.XLOOKUP("Accounts Receivable",Inputs!$B:$B,Inputs!H:H))/_xlfn.XLOOKUP("Current Liabilities",Inputs!$B:$B,Inputs!H:H),"")</f>
        <v/>
      </c>
      <c r="H28" s="11" t="str">
        <f>IFERROR((_xlfn.XLOOKUP("Cash &amp; Cash Equivalents &amp; ST Investments",Inputs!$B:$B,Inputs!I:I)+_xlfn.XLOOKUP("Accounts Receivable",Inputs!$B:$B,Inputs!I:I))/_xlfn.XLOOKUP("Current Liabilities",Inputs!$B:$B,Inputs!I:I),"")</f>
        <v/>
      </c>
      <c r="I28" s="11" t="str">
        <f>IFERROR((_xlfn.XLOOKUP("Cash &amp; Cash Equivalents &amp; ST Investments",Inputs!$B:$B,Inputs!J:J)+_xlfn.XLOOKUP("Accounts Receivable",Inputs!$B:$B,Inputs!J:J))/_xlfn.XLOOKUP("Current Liabilities",Inputs!$B:$B,Inputs!J:J),"")</f>
        <v/>
      </c>
      <c r="J28" s="11" t="str">
        <f>IFERROR((_xlfn.XLOOKUP("Cash &amp; Cash Equivalents &amp; ST Investments",Inputs!$B:$B,Inputs!K:K)+_xlfn.XLOOKUP("Accounts Receivable",Inputs!$B:$B,Inputs!K:K))/_xlfn.XLOOKUP("Current Liabilities",Inputs!$B:$B,Inputs!K:K),"")</f>
        <v/>
      </c>
      <c r="K28" s="11" t="str">
        <f>IFERROR((_xlfn.XLOOKUP("Cash &amp; Cash Equivalents &amp; ST Investments",Inputs!$B:$B,Inputs!L:L)+_xlfn.XLOOKUP("Accounts Receivable",Inputs!$B:$B,Inputs!L:L))/_xlfn.XLOOKUP("Current Liabilities",Inputs!$B:$B,Inputs!L:L),"")</f>
        <v/>
      </c>
      <c r="L28" s="11">
        <f>IFERROR((_xlfn.XLOOKUP("Cash &amp; Cash Equivalents &amp; ST Investments",Inputs!$B:$B,Inputs!M:M)+_xlfn.XLOOKUP("Accounts Receivable",Inputs!$B:$B,Inputs!M:M))/_xlfn.XLOOKUP("Current Liabilities",Inputs!$B:$B,Inputs!M:M),"")</f>
        <v>19.409888357256779</v>
      </c>
      <c r="M28" s="11">
        <f>IFERROR((_xlfn.XLOOKUP("Cash &amp; Cash Equivalents &amp; ST Investments",Inputs!$B:$B,Inputs!N:N)+_xlfn.XLOOKUP("Accounts Receivable",Inputs!$B:$B,Inputs!N:N))/_xlfn.XLOOKUP("Current Liabilities",Inputs!$B:$B,Inputs!N:N),"")</f>
        <v>53.985656794964399</v>
      </c>
      <c r="N28" s="11">
        <f>IFERROR((_xlfn.XLOOKUP("Cash &amp; Cash Equivalents &amp; ST Investments",Inputs!$B:$B,Inputs!O:O)+_xlfn.XLOOKUP("Accounts Receivable",Inputs!$B:$B,Inputs!O:O))/_xlfn.XLOOKUP("Current Liabilities",Inputs!$B:$B,Inputs!O:O),"")</f>
        <v>17.811954365079366</v>
      </c>
      <c r="O28" s="11">
        <f>IFERROR((_xlfn.XLOOKUP("Cash &amp; Cash Equivalents &amp; ST Investments",Inputs!$B:$B,Inputs!P:P)+_xlfn.XLOOKUP("Accounts Receivable",Inputs!$B:$B,Inputs!P:P))/_xlfn.XLOOKUP("Current Liabilities",Inputs!$B:$B,Inputs!P:P),"")</f>
        <v>9.872672478742869</v>
      </c>
      <c r="P28" s="324">
        <f>IFERROR((_xlfn.XLOOKUP("Cash &amp; Cash Equivalents &amp; ST Investments",Inputs!$B:$B,Inputs!Q:Q)+_xlfn.XLOOKUP("Accounts Receivable",Inputs!$B:$B,Inputs!Q:Q))/_xlfn.XLOOKUP("Current Liabilities",Inputs!$B:$B,Inputs!Q:Q),"")</f>
        <v>9.6107801025356796</v>
      </c>
      <c r="Q28" s="331">
        <f ca="1">+IFERROR((_xlfn.XLOOKUP("Cash &amp; Cash Equivalents &amp; ST Investments",DCF!$B:$B,DCF!H:H)+_xlfn.XLOOKUP("Accounts Receivable",DCF!$B:$B,DCF!H:H))/_xlfn.XLOOKUP("Current Liabilities",DCF!$6:$6,DCF!10:10),"")</f>
        <v>1.1227434699464487</v>
      </c>
      <c r="R28" s="331">
        <f ca="1">+IFERROR((_xlfn.XLOOKUP("Cash &amp; Cash Equivalents &amp; ST Investments",DCF!$B:$B,DCF!I:I)+_xlfn.XLOOKUP("Accounts Receivable",DCF!$B:$B,DCF!I:I))/_xlfn.XLOOKUP("Current Liabilities",DCF!$6:$6,DCF!10:10),"")</f>
        <v>-7.5133430634679277</v>
      </c>
    </row>
    <row r="29" spans="2:19" ht="15">
      <c r="B29" s="849" t="s">
        <v>56</v>
      </c>
      <c r="F29" s="11" t="str">
        <f>IFERROR(_xlfn.XLOOKUP("Current Assets",Inputs!$B:$B,Inputs!G:G)/+_xlfn.XLOOKUP("Current Liabilities",Inputs!$B:$B,Inputs!G:G),"")</f>
        <v/>
      </c>
      <c r="G29" s="11" t="str">
        <f>IFERROR(_xlfn.XLOOKUP("Current Assets",Inputs!$B:$B,Inputs!H:H)/+_xlfn.XLOOKUP("Current Liabilities",Inputs!$B:$B,Inputs!H:H),"")</f>
        <v/>
      </c>
      <c r="H29" s="11" t="str">
        <f>IFERROR(_xlfn.XLOOKUP("Current Assets",Inputs!$B:$B,Inputs!I:I)/+_xlfn.XLOOKUP("Current Liabilities",Inputs!$B:$B,Inputs!I:I),"")</f>
        <v/>
      </c>
      <c r="I29" s="11" t="str">
        <f>IFERROR(_xlfn.XLOOKUP("Current Assets",Inputs!$B:$B,Inputs!J:J)/+_xlfn.XLOOKUP("Current Liabilities",Inputs!$B:$B,Inputs!J:J),"")</f>
        <v/>
      </c>
      <c r="J29" s="11" t="str">
        <f>IFERROR(_xlfn.XLOOKUP("Current Assets",Inputs!$B:$B,Inputs!K:K)/+_xlfn.XLOOKUP("Current Liabilities",Inputs!$B:$B,Inputs!K:K),"")</f>
        <v/>
      </c>
      <c r="K29" s="11" t="str">
        <f>IFERROR(_xlfn.XLOOKUP("Current Assets",Inputs!$B:$B,Inputs!L:L)/+_xlfn.XLOOKUP("Current Liabilities",Inputs!$B:$B,Inputs!L:L),"")</f>
        <v/>
      </c>
      <c r="L29" s="11">
        <f>IFERROR(_xlfn.XLOOKUP("Current Assets",Inputs!$B:$B,Inputs!M:M)/+_xlfn.XLOOKUP("Current Liabilities",Inputs!$B:$B,Inputs!M:M),"")</f>
        <v>20.509835194045721</v>
      </c>
      <c r="M29" s="11">
        <f>IFERROR(_xlfn.XLOOKUP("Current Assets",Inputs!$B:$B,Inputs!N:N)/+_xlfn.XLOOKUP("Current Liabilities",Inputs!$B:$B,Inputs!N:N),"")</f>
        <v>54.650397275822925</v>
      </c>
      <c r="N29" s="11">
        <f>IFERROR(_xlfn.XLOOKUP("Current Assets",Inputs!$B:$B,Inputs!O:O)/+_xlfn.XLOOKUP("Current Liabilities",Inputs!$B:$B,Inputs!O:O),"")</f>
        <v>18.43392857142857</v>
      </c>
      <c r="O29" s="11">
        <f>IFERROR(_xlfn.XLOOKUP("Current Assets",Inputs!$B:$B,Inputs!P:P)/+_xlfn.XLOOKUP("Current Liabilities",Inputs!$B:$B,Inputs!P:P),"")</f>
        <v>10.493730491873857</v>
      </c>
      <c r="P29" s="324">
        <f>IFERROR(_xlfn.XLOOKUP("Current Assets",Inputs!$B:$B,Inputs!Q:Q)/+_xlfn.XLOOKUP("Current Liabilities",Inputs!$B:$B,Inputs!Q:Q),"")</f>
        <v>10.497492032700569</v>
      </c>
      <c r="Q29" s="331">
        <f ca="1">+IFERROR(_xlfn.XLOOKUP("Current Assets",DCF!$6:$6,DCF!10:10)/_xlfn.XLOOKUP("Current Liabilities",DCF!$6:$6,DCF!10:10),"")</f>
        <v>1.7427223819207562</v>
      </c>
      <c r="R29" s="331">
        <f ca="1">+IFERROR(_xlfn.XLOOKUP("Current Assets",DCF!$6:$6,DCF!10:10)/_xlfn.XLOOKUP("Current Liabilities",DCF!$6:$6,DCF!10:10),"")</f>
        <v>1.7427223819207562</v>
      </c>
    </row>
    <row r="30" spans="2:19" ht="8.1" customHeight="1">
      <c r="N30" s="11"/>
      <c r="O30" s="11"/>
      <c r="P30" s="324"/>
      <c r="Q30" s="331"/>
      <c r="R30" s="331"/>
    </row>
    <row r="31" spans="2:19" ht="15.75">
      <c r="B31" s="7" t="s">
        <v>543</v>
      </c>
      <c r="C31" s="47"/>
      <c r="D31" s="49"/>
      <c r="E31" s="49"/>
      <c r="F31" s="346">
        <v>2014</v>
      </c>
      <c r="G31" s="346">
        <f t="shared" ref="G31" si="21">+F31+1</f>
        <v>2015</v>
      </c>
      <c r="H31" s="346">
        <f t="shared" ref="H31" si="22">+G31+1</f>
        <v>2016</v>
      </c>
      <c r="I31" s="346">
        <f t="shared" ref="I31" si="23">+H31+1</f>
        <v>2017</v>
      </c>
      <c r="J31" s="346">
        <f t="shared" ref="J31" si="24">+I31+1</f>
        <v>2018</v>
      </c>
      <c r="K31" s="346">
        <f t="shared" ref="K31" si="25">+J31+1</f>
        <v>2019</v>
      </c>
      <c r="L31" s="346">
        <f t="shared" ref="L31" si="26">+K31+1</f>
        <v>2020</v>
      </c>
      <c r="M31" s="346">
        <f t="shared" ref="M31" si="27">+L31+1</f>
        <v>2021</v>
      </c>
      <c r="N31" s="346">
        <v>2022</v>
      </c>
      <c r="O31" s="346">
        <f t="shared" ref="O31" si="28">+N31+1</f>
        <v>2023</v>
      </c>
      <c r="P31" s="347">
        <f>+O31+1</f>
        <v>2024</v>
      </c>
      <c r="Q31" s="345">
        <f>+P31+1</f>
        <v>2025</v>
      </c>
      <c r="R31" s="345">
        <f>+Q31+1</f>
        <v>2026</v>
      </c>
    </row>
    <row r="32" spans="2:19" ht="3.95" customHeight="1">
      <c r="B32" s="225"/>
      <c r="C32" s="44"/>
      <c r="D32" s="50"/>
      <c r="E32" s="50"/>
      <c r="F32" s="50"/>
      <c r="G32" s="50"/>
      <c r="H32" s="50"/>
      <c r="I32" s="50"/>
      <c r="J32" s="50"/>
      <c r="K32" s="50"/>
      <c r="L32" s="50"/>
      <c r="M32" s="50"/>
      <c r="N32" s="200"/>
      <c r="O32" s="200"/>
      <c r="P32" s="326"/>
      <c r="Q32" s="200"/>
      <c r="R32" s="200"/>
    </row>
    <row r="33" spans="2:18" ht="15">
      <c r="B33" s="13" t="s">
        <v>544</v>
      </c>
      <c r="F33" s="232" t="str">
        <f>+_xlfn.XLOOKUP("DSO",Inputs!$B:$B,Inputs!G:G)</f>
        <v/>
      </c>
      <c r="G33" s="232" t="str">
        <f>+_xlfn.XLOOKUP("DSO",Inputs!$B:$B,Inputs!H:H)</f>
        <v/>
      </c>
      <c r="H33" s="232" t="str">
        <f>+_xlfn.XLOOKUP("DSO",Inputs!$B:$B,Inputs!I:I)</f>
        <v/>
      </c>
      <c r="I33" s="232" t="str">
        <f>+_xlfn.XLOOKUP("DSO",Inputs!$B:$B,Inputs!J:J)</f>
        <v/>
      </c>
      <c r="J33" s="232" t="str">
        <f>+_xlfn.XLOOKUP("DSO",Inputs!$B:$B,Inputs!K:K)</f>
        <v/>
      </c>
      <c r="K33" s="232" t="str">
        <f>+_xlfn.XLOOKUP("DSO",Inputs!$B:$B,Inputs!L:L)</f>
        <v/>
      </c>
      <c r="L33" s="232" t="str">
        <f>+_xlfn.XLOOKUP("DSO",Inputs!$B:$B,Inputs!M:M)</f>
        <v/>
      </c>
      <c r="M33" s="232">
        <f>+_xlfn.XLOOKUP("DSO",Inputs!$B:$B,Inputs!N:N)</f>
        <v>122.94187708432587</v>
      </c>
      <c r="N33" s="232">
        <f>+_xlfn.XLOOKUP("DSO",Inputs!$B:$B,Inputs!O:O)</f>
        <v>107.94897134129907</v>
      </c>
      <c r="O33" s="232">
        <f>+_xlfn.XLOOKUP("DSO",Inputs!$B:$B,Inputs!P:P)</f>
        <v>189.88544596679066</v>
      </c>
      <c r="P33" s="330">
        <f>+_xlfn.XLOOKUP("DSO",Inputs!$B:$B,Inputs!Q:Q)</f>
        <v>55.216492930606186</v>
      </c>
      <c r="Q33" s="335">
        <f ca="1">+_xlfn.XLOOKUP("DSO",DCF!$B:$B,DCF!H:H)</f>
        <v>55.367770993429765</v>
      </c>
      <c r="R33" s="335">
        <f ca="1">+_xlfn.XLOOKUP("DSO",DCF!$B:$B,DCF!I:I)</f>
        <v>55.367770993429765</v>
      </c>
    </row>
    <row r="34" spans="2:18" ht="15">
      <c r="B34" s="226" t="s">
        <v>545</v>
      </c>
      <c r="F34" s="232" t="str">
        <f>+_xlfn.XLOOKUP("DPO",Inputs!$B:$B,Inputs!G:G)</f>
        <v/>
      </c>
      <c r="G34" s="232" t="str">
        <f>+_xlfn.XLOOKUP("DPO",Inputs!$B:$B,Inputs!H:H)</f>
        <v/>
      </c>
      <c r="H34" s="232" t="str">
        <f>+_xlfn.XLOOKUP("DPO",Inputs!$B:$B,Inputs!I:I)</f>
        <v/>
      </c>
      <c r="I34" s="232" t="str">
        <f>+_xlfn.XLOOKUP("DPO",Inputs!$B:$B,Inputs!J:J)</f>
        <v/>
      </c>
      <c r="J34" s="232" t="str">
        <f>+_xlfn.XLOOKUP("DPO",Inputs!$B:$B,Inputs!K:K)</f>
        <v/>
      </c>
      <c r="K34" s="232" t="str">
        <f>+_xlfn.XLOOKUP("DPO",Inputs!$B:$B,Inputs!L:L)</f>
        <v/>
      </c>
      <c r="L34" s="232" t="str">
        <f>+_xlfn.XLOOKUP("DPO",Inputs!$B:$B,Inputs!M:M)</f>
        <v/>
      </c>
      <c r="M34" s="232">
        <f>+_xlfn.XLOOKUP("DPO",Inputs!$B:$B,Inputs!N:N)</f>
        <v>327.26536445926632</v>
      </c>
      <c r="N34" s="232">
        <f>+_xlfn.XLOOKUP("DPO",Inputs!$B:$B,Inputs!O:O)</f>
        <v>100.17743239601113</v>
      </c>
      <c r="O34" s="232">
        <f>+_xlfn.XLOOKUP("DPO",Inputs!$B:$B,Inputs!P:P)</f>
        <v>92.715497686235366</v>
      </c>
      <c r="P34" s="330">
        <f>+_xlfn.XLOOKUP("DPO",Inputs!$B:$B,Inputs!Q:Q)</f>
        <v>44.318946904093046</v>
      </c>
      <c r="Q34" s="335">
        <f ca="1">+_xlfn.XLOOKUP("DPO",DCF!$B:$B,DCF!H:H)</f>
        <v>90</v>
      </c>
      <c r="R34" s="335">
        <f ca="1">+_xlfn.XLOOKUP("DPO",DCF!$B:$B,DCF!I:I)</f>
        <v>65</v>
      </c>
    </row>
    <row r="35" spans="2:18" ht="15">
      <c r="B35" s="226" t="s">
        <v>546</v>
      </c>
      <c r="F35" s="232" t="str">
        <f>+_xlfn.XLOOKUP("DIH",Inputs!$B:$B,Inputs!G:G)</f>
        <v/>
      </c>
      <c r="G35" s="232" t="str">
        <f>+_xlfn.XLOOKUP("DIH",Inputs!$B:$B,Inputs!H:H)</f>
        <v/>
      </c>
      <c r="H35" s="232" t="str">
        <f>+_xlfn.XLOOKUP("DIH",Inputs!$B:$B,Inputs!I:I)</f>
        <v/>
      </c>
      <c r="I35" s="232" t="str">
        <f>+_xlfn.XLOOKUP("DIH",Inputs!$B:$B,Inputs!J:J)</f>
        <v/>
      </c>
      <c r="J35" s="232" t="str">
        <f>+_xlfn.XLOOKUP("DIH",Inputs!$B:$B,Inputs!K:K)</f>
        <v/>
      </c>
      <c r="K35" s="232" t="str">
        <f>+_xlfn.XLOOKUP("DIH",Inputs!$B:$B,Inputs!L:L)</f>
        <v/>
      </c>
      <c r="L35" s="232">
        <f>+_xlfn.XLOOKUP("DIH",Inputs!$B:$B,Inputs!M:M)</f>
        <v>0</v>
      </c>
      <c r="M35" s="232">
        <f>+_xlfn.XLOOKUP("DIH",Inputs!$B:$B,Inputs!N:N)</f>
        <v>0</v>
      </c>
      <c r="N35" s="232">
        <f>+_xlfn.XLOOKUP("DIH",Inputs!$B:$B,Inputs!O:O)</f>
        <v>0</v>
      </c>
      <c r="O35" s="232">
        <f>+_xlfn.XLOOKUP("DIH",Inputs!$B:$B,Inputs!P:P)</f>
        <v>0</v>
      </c>
      <c r="P35" s="330">
        <f>+_xlfn.XLOOKUP("DIH",Inputs!$B:$B,Inputs!Q:Q)</f>
        <v>0</v>
      </c>
      <c r="Q35" s="335">
        <f ca="1">+_xlfn.XLOOKUP("DIH",DCF!$B:$B,DCF!H:H)</f>
        <v>0</v>
      </c>
      <c r="R35" s="335">
        <f ca="1">+_xlfn.XLOOKUP("DIH",DCF!$B:$B,DCF!I:I)</f>
        <v>0</v>
      </c>
    </row>
    <row r="36" spans="2:18" ht="15">
      <c r="B36" s="226" t="s">
        <v>65</v>
      </c>
      <c r="F36" s="232" t="str">
        <f>IFERROR(F35+F33-F34,"")</f>
        <v/>
      </c>
      <c r="G36" s="232" t="str">
        <f t="shared" ref="G36:P36" si="29">IFERROR(G35+G33-G34,"")</f>
        <v/>
      </c>
      <c r="H36" s="232" t="str">
        <f t="shared" si="29"/>
        <v/>
      </c>
      <c r="I36" s="232" t="str">
        <f t="shared" si="29"/>
        <v/>
      </c>
      <c r="J36" s="232" t="str">
        <f t="shared" si="29"/>
        <v/>
      </c>
      <c r="K36" s="232" t="str">
        <f t="shared" si="29"/>
        <v/>
      </c>
      <c r="L36" s="232" t="str">
        <f t="shared" si="29"/>
        <v/>
      </c>
      <c r="M36" s="232">
        <f t="shared" si="29"/>
        <v>-204.32348737494044</v>
      </c>
      <c r="N36" s="232">
        <f t="shared" si="29"/>
        <v>7.7715389452879435</v>
      </c>
      <c r="O36" s="232">
        <f t="shared" si="29"/>
        <v>97.169948280555289</v>
      </c>
      <c r="P36" s="330">
        <f t="shared" si="29"/>
        <v>10.89754602651314</v>
      </c>
      <c r="Q36" s="335">
        <f ca="1">IFERROR(Q35+Q33-Q34,"")</f>
        <v>-34.632229006570235</v>
      </c>
      <c r="R36" s="335">
        <f t="shared" ref="R36" ca="1" si="30">IFERROR(R35+R33-R34,"")</f>
        <v>-9.6322290065702347</v>
      </c>
    </row>
    <row r="37" spans="2:18" ht="8.1" customHeight="1">
      <c r="N37" s="228"/>
      <c r="O37" s="228"/>
      <c r="P37" s="327"/>
      <c r="Q37" s="332"/>
      <c r="R37" s="332"/>
    </row>
    <row r="38" spans="2:18" ht="15.75">
      <c r="B38" s="7" t="s">
        <v>547</v>
      </c>
      <c r="C38" s="47"/>
      <c r="D38" s="49"/>
      <c r="E38" s="49"/>
      <c r="F38" s="346">
        <v>2014</v>
      </c>
      <c r="G38" s="346">
        <f t="shared" ref="G38" si="31">+F38+1</f>
        <v>2015</v>
      </c>
      <c r="H38" s="346">
        <f t="shared" ref="H38" si="32">+G38+1</f>
        <v>2016</v>
      </c>
      <c r="I38" s="346">
        <f t="shared" ref="I38" si="33">+H38+1</f>
        <v>2017</v>
      </c>
      <c r="J38" s="346">
        <f t="shared" ref="J38" si="34">+I38+1</f>
        <v>2018</v>
      </c>
      <c r="K38" s="346">
        <f t="shared" ref="K38" si="35">+J38+1</f>
        <v>2019</v>
      </c>
      <c r="L38" s="346">
        <f t="shared" ref="L38" si="36">+K38+1</f>
        <v>2020</v>
      </c>
      <c r="M38" s="346">
        <f t="shared" ref="M38" si="37">+L38+1</f>
        <v>2021</v>
      </c>
      <c r="N38" s="346">
        <v>2022</v>
      </c>
      <c r="O38" s="346">
        <f t="shared" ref="O38" si="38">+N38+1</f>
        <v>2023</v>
      </c>
      <c r="P38" s="347">
        <f>+O38+1</f>
        <v>2024</v>
      </c>
      <c r="Q38" s="345">
        <f>+P38+1</f>
        <v>2025</v>
      </c>
      <c r="R38" s="345">
        <f>+Q38+1</f>
        <v>2026</v>
      </c>
    </row>
    <row r="39" spans="2:18" ht="3.95" customHeight="1">
      <c r="B39" s="225"/>
      <c r="C39" s="44"/>
      <c r="D39" s="50"/>
      <c r="E39" s="50"/>
      <c r="F39" s="50"/>
      <c r="G39" s="50"/>
      <c r="H39" s="50"/>
      <c r="I39" s="50"/>
      <c r="J39" s="50"/>
      <c r="K39" s="50"/>
      <c r="L39" s="50"/>
      <c r="M39" s="50"/>
      <c r="N39" s="200"/>
      <c r="O39" s="200"/>
      <c r="P39" s="326"/>
      <c r="Q39" s="200"/>
      <c r="R39" s="200"/>
    </row>
    <row r="40" spans="2:18" ht="15">
      <c r="B40" s="849" t="s">
        <v>76</v>
      </c>
      <c r="F40" s="11" t="str">
        <f>+IFERROR(_xlfn.XLOOKUP("Total Debt",Inputs!$B:$B,Inputs!G:G)*1000/+_xlfn.XLOOKUP("Shareholder's Equity",Inputs!$B:$B,Inputs!G:G),"")</f>
        <v/>
      </c>
      <c r="G40" s="11" t="str">
        <f>+IFERROR(_xlfn.XLOOKUP("Total Debt",Inputs!$B:$B,Inputs!H:H)*1000/+_xlfn.XLOOKUP("Shareholder's Equity",Inputs!$B:$B,Inputs!H:H),"")</f>
        <v/>
      </c>
      <c r="H40" s="11" t="str">
        <f>+IFERROR(_xlfn.XLOOKUP("Total Debt",Inputs!$B:$B,Inputs!I:I)*1000/+_xlfn.XLOOKUP("Shareholder's Equity",Inputs!$B:$B,Inputs!I:I),"")</f>
        <v/>
      </c>
      <c r="I40" s="11" t="str">
        <f>+IFERROR(_xlfn.XLOOKUP("Total Debt",Inputs!$B:$B,Inputs!J:J)*1000/+_xlfn.XLOOKUP("Shareholder's Equity",Inputs!$B:$B,Inputs!J:J),"")</f>
        <v/>
      </c>
      <c r="J40" s="11" t="str">
        <f>+IFERROR(_xlfn.XLOOKUP("Total Debt",Inputs!$B:$B,Inputs!K:K)*1000/+_xlfn.XLOOKUP("Shareholder's Equity",Inputs!$B:$B,Inputs!K:K),"")</f>
        <v/>
      </c>
      <c r="K40" s="11" t="str">
        <f>+IFERROR(_xlfn.XLOOKUP("Total Debt",Inputs!$B:$B,Inputs!L:L)*1000/+_xlfn.XLOOKUP("Shareholder's Equity",Inputs!$B:$B,Inputs!L:L),"")</f>
        <v/>
      </c>
      <c r="L40" s="11">
        <f>+IFERROR(_xlfn.XLOOKUP("Total Debt",Inputs!$B:$B,Inputs!M:M)*1000/+_xlfn.XLOOKUP("Shareholder's Equity",Inputs!$B:$B,Inputs!M:M),"")</f>
        <v>79.530007634582802</v>
      </c>
      <c r="M40" s="11">
        <f>+IFERROR(_xlfn.XLOOKUP("Total Debt",Inputs!$B:$B,Inputs!N:N)*1000/+_xlfn.XLOOKUP("Shareholder's Equity",Inputs!$B:$B,Inputs!N:N),"")</f>
        <v>7.122439659692505</v>
      </c>
      <c r="N40" s="11">
        <f>+IFERROR(_xlfn.XLOOKUP("Total Debt",Inputs!$B:$B,Inputs!O:O)*1000/+_xlfn.XLOOKUP("Shareholder's Equity",Inputs!$B:$B,Inputs!O:O),"")</f>
        <v>7.1276339247216267</v>
      </c>
      <c r="O40" s="11">
        <f>+IFERROR(_xlfn.XLOOKUP("Total Debt",Inputs!$B:$B,Inputs!P:P)*1000/+_xlfn.XLOOKUP("Shareholder's Equity",Inputs!$B:$B,Inputs!P:P),"")</f>
        <v>16.71154694697254</v>
      </c>
      <c r="P40" s="324">
        <f>+IFERROR(_xlfn.XLOOKUP("Total Debt",Inputs!$B:$B,Inputs!Q:Q)*1000/+_xlfn.XLOOKUP("Shareholder's Equity",Inputs!$B:$B,Inputs!Q:Q),"")</f>
        <v>46.175448468460019</v>
      </c>
      <c r="Q40" s="331">
        <f ca="1">IFERROR((_xlfn.XLOOKUP("Total Borrowings",DCF!$B:$B,DCF!G:G)+_xlfn.XLOOKUP("Total Leases",DCF!$B:$B,DCF!G:G))/_xlfn.XLOOKUP("Shareholder's Equity",DCF!$6:$6,DCF!10:10),"")</f>
        <v>-0.13689392317037036</v>
      </c>
      <c r="R40" s="331">
        <f ca="1">IFERROR((_xlfn.XLOOKUP("Total Borrowings",DCF!$B:$B,DCF!H:H)+_xlfn.XLOOKUP("Total Leases",DCF!$B:$B,DCF!H:H))/_xlfn.XLOOKUP("Shareholder's Equity",DCF!$6:$6,DCF!10:10),"")</f>
        <v>-2.0979168471771055</v>
      </c>
    </row>
    <row r="41" spans="2:18" ht="15">
      <c r="B41" s="850" t="s">
        <v>78</v>
      </c>
      <c r="F41" s="11" t="str">
        <f>+IFERROR(_xlfn.XLOOKUP("Total Debt",Inputs!$B:$B,Inputs!G:G)*1000/(+_xlfn.XLOOKUP("Shareholder's Equity",Inputs!$B:$B,Inputs!G:G)+_xlfn.XLOOKUP("Total Debt",Inputs!$B:$B,Inputs!G:G)*1000),"")</f>
        <v/>
      </c>
      <c r="G41" s="11" t="str">
        <f>+IFERROR(_xlfn.XLOOKUP("Total Debt",Inputs!$B:$B,Inputs!H:H)*1000/(+_xlfn.XLOOKUP("Shareholder's Equity",Inputs!$B:$B,Inputs!H:H)+_xlfn.XLOOKUP("Total Debt",Inputs!$B:$B,Inputs!H:H)*1000),"")</f>
        <v/>
      </c>
      <c r="H41" s="11" t="str">
        <f>+IFERROR(_xlfn.XLOOKUP("Total Debt",Inputs!$B:$B,Inputs!I:I)*1000/(+_xlfn.XLOOKUP("Shareholder's Equity",Inputs!$B:$B,Inputs!I:I)+_xlfn.XLOOKUP("Total Debt",Inputs!$B:$B,Inputs!I:I)*1000),"")</f>
        <v/>
      </c>
      <c r="I41" s="11" t="str">
        <f>+IFERROR(_xlfn.XLOOKUP("Total Debt",Inputs!$B:$B,Inputs!J:J)*1000/(+_xlfn.XLOOKUP("Shareholder's Equity",Inputs!$B:$B,Inputs!J:J)+_xlfn.XLOOKUP("Total Debt",Inputs!$B:$B,Inputs!J:J)*1000),"")</f>
        <v/>
      </c>
      <c r="J41" s="11" t="str">
        <f>+IFERROR(_xlfn.XLOOKUP("Total Debt",Inputs!$B:$B,Inputs!K:K)*1000/(+_xlfn.XLOOKUP("Shareholder's Equity",Inputs!$B:$B,Inputs!K:K)+_xlfn.XLOOKUP("Total Debt",Inputs!$B:$B,Inputs!K:K)*1000),"")</f>
        <v/>
      </c>
      <c r="K41" s="11" t="str">
        <f>+IFERROR(_xlfn.XLOOKUP("Total Debt",Inputs!$B:$B,Inputs!L:L)*1000/(+_xlfn.XLOOKUP("Shareholder's Equity",Inputs!$B:$B,Inputs!L:L)+_xlfn.XLOOKUP("Total Debt",Inputs!$B:$B,Inputs!L:L)*1000),"")</f>
        <v/>
      </c>
      <c r="L41" s="11">
        <f>+IFERROR(_xlfn.XLOOKUP("Total Debt",Inputs!$B:$B,Inputs!M:M)*1000/(+_xlfn.XLOOKUP("Shareholder's Equity",Inputs!$B:$B,Inputs!M:M)+_xlfn.XLOOKUP("Total Debt",Inputs!$B:$B,Inputs!M:M)*1000),"")</f>
        <v>0.9875822686552117</v>
      </c>
      <c r="M41" s="11">
        <f>+IFERROR(_xlfn.XLOOKUP("Total Debt",Inputs!$B:$B,Inputs!N:N)*1000/(+_xlfn.XLOOKUP("Shareholder's Equity",Inputs!$B:$B,Inputs!N:N)+_xlfn.XLOOKUP("Total Debt",Inputs!$B:$B,Inputs!N:N)*1000),"")</f>
        <v>0.8768842808445243</v>
      </c>
      <c r="N41" s="11">
        <f>+IFERROR(_xlfn.XLOOKUP("Total Debt",Inputs!$B:$B,Inputs!O:O)*1000/(+_xlfn.XLOOKUP("Shareholder's Equity",Inputs!$B:$B,Inputs!O:O)+_xlfn.XLOOKUP("Total Debt",Inputs!$B:$B,Inputs!O:O)*1000),"")</f>
        <v>0.87696296249781569</v>
      </c>
      <c r="O41" s="11">
        <f>+IFERROR(_xlfn.XLOOKUP("Total Debt",Inputs!$B:$B,Inputs!P:P)*1000/(+_xlfn.XLOOKUP("Shareholder's Equity",Inputs!$B:$B,Inputs!P:P)+_xlfn.XLOOKUP("Total Debt",Inputs!$B:$B,Inputs!P:P)*1000),"")</f>
        <v>0.94353965788567484</v>
      </c>
      <c r="P41" s="324">
        <f>+IFERROR(_xlfn.XLOOKUP("Total Debt",Inputs!$B:$B,Inputs!Q:Q)*1000/(+_xlfn.XLOOKUP("Shareholder's Equity",Inputs!$B:$B,Inputs!Q:Q)+_xlfn.XLOOKUP("Total Debt",Inputs!$B:$B,Inputs!Q:Q)*1000),"")</f>
        <v>0.97880253325692135</v>
      </c>
      <c r="Q41" s="331">
        <f ca="1">IFERROR((_xlfn.XLOOKUP("Total Borrowings",DCF!$B:$B,DCF!G:G)+_xlfn.XLOOKUP("Total Leases",DCF!$B:$B,DCF!G:G))/(_xlfn.XLOOKUP("Shareholder's Equity",DCF!$6:$6,DCF!10:10)+_xlfn.XLOOKUP("Total Borrowings",DCF!$B:$B,DCF!G:G)+_xlfn.XLOOKUP("Total Leases",DCF!$B:$B,DCF!G:G)),"")</f>
        <v>-0.1586061399002201</v>
      </c>
      <c r="R41" s="331">
        <f ca="1">IFERROR((_xlfn.XLOOKUP("Total Borrowings",DCF!$B:$B,DCF!H:H)+_xlfn.XLOOKUP("Total Leases",DCF!$B:$B,DCF!H:H))/(_xlfn.XLOOKUP("Shareholder's Equity",DCF!$6:$6,DCF!10:10)+_xlfn.XLOOKUP("Total Borrowings",DCF!$B:$B,DCF!H:H)+_xlfn.XLOOKUP("Total Leases",DCF!$B:$B,DCF!H:H)),"")</f>
        <v>1.9108157895300881</v>
      </c>
    </row>
    <row r="42" spans="2:18" ht="15">
      <c r="B42" s="226" t="s">
        <v>80</v>
      </c>
      <c r="F42" s="11" t="str">
        <f>IFERROR(_xlfn.XLOOKUP("Total Liabilities",Inputs!$B:$B,Inputs!G:G)/_xlfn.XLOOKUP("Total Assets",Inputs!$B:$B,Inputs!G:G),"")</f>
        <v/>
      </c>
      <c r="G42" s="11" t="str">
        <f>IFERROR(_xlfn.XLOOKUP("Total Liabilities",Inputs!$B:$B,Inputs!H:H)/_xlfn.XLOOKUP("Total Assets",Inputs!$B:$B,Inputs!H:H),"")</f>
        <v/>
      </c>
      <c r="H42" s="11" t="str">
        <f>IFERROR(_xlfn.XLOOKUP("Total Liabilities",Inputs!$B:$B,Inputs!I:I)/_xlfn.XLOOKUP("Total Assets",Inputs!$B:$B,Inputs!I:I),"")</f>
        <v/>
      </c>
      <c r="I42" s="11" t="str">
        <f>IFERROR(_xlfn.XLOOKUP("Total Liabilities",Inputs!$B:$B,Inputs!J:J)/_xlfn.XLOOKUP("Total Assets",Inputs!$B:$B,Inputs!J:J),"")</f>
        <v/>
      </c>
      <c r="J42" s="11" t="str">
        <f>IFERROR(_xlfn.XLOOKUP("Total Liabilities",Inputs!$B:$B,Inputs!K:K)/_xlfn.XLOOKUP("Total Assets",Inputs!$B:$B,Inputs!K:K),"")</f>
        <v/>
      </c>
      <c r="K42" s="11" t="str">
        <f>IFERROR(_xlfn.XLOOKUP("Total Liabilities",Inputs!$B:$B,Inputs!L:L)/_xlfn.XLOOKUP("Total Assets",Inputs!$B:$B,Inputs!L:L),"")</f>
        <v/>
      </c>
      <c r="L42" s="11">
        <f>IFERROR(_xlfn.XLOOKUP("Total Liabilities",Inputs!$B:$B,Inputs!M:M)/_xlfn.XLOOKUP("Total Assets",Inputs!$B:$B,Inputs!M:M),"")</f>
        <v>0.11202420714970733</v>
      </c>
      <c r="M42" s="11">
        <f>IFERROR(_xlfn.XLOOKUP("Total Liabilities",Inputs!$B:$B,Inputs!N:N)/_xlfn.XLOOKUP("Total Assets",Inputs!$B:$B,Inputs!N:N),"")</f>
        <v>7.9121159824805151E-2</v>
      </c>
      <c r="N42" s="11">
        <f>IFERROR(_xlfn.XLOOKUP("Total Liabilities",Inputs!$B:$B,Inputs!O:O)/_xlfn.XLOOKUP("Total Assets",Inputs!$B:$B,Inputs!O:O),"")</f>
        <v>4.9801669587553013E-2</v>
      </c>
      <c r="O42" s="11">
        <f>IFERROR(_xlfn.XLOOKUP("Total Liabilities",Inputs!$B:$B,Inputs!P:P)/_xlfn.XLOOKUP("Total Assets",Inputs!$B:$B,Inputs!P:P),"")</f>
        <v>0.12389537194262798</v>
      </c>
      <c r="P42" s="324">
        <f>IFERROR(_xlfn.XLOOKUP("Total Liabilities",Inputs!$B:$B,Inputs!Q:Q)/_xlfn.XLOOKUP("Total Assets",Inputs!$B:$B,Inputs!Q:Q),"")</f>
        <v>0.24494283893404251</v>
      </c>
      <c r="Q42" s="331">
        <f ca="1">IFERROR(+_xlfn.XLOOKUP("Total Liabilities",DCF!$6:$6,DCF!10:10)/_xlfn.XLOOKUP("Total Assets",DCF!$6:$6,DCF!10:10),"")</f>
        <v>1.4385780666909951</v>
      </c>
      <c r="R42" s="331">
        <f ca="1">IFERROR(+_xlfn.XLOOKUP("Total Liabilities",DCF!$6:$6,DCF!10:10)/_xlfn.XLOOKUP("Total Assets",DCF!$6:$6,DCF!10:10),"")</f>
        <v>1.4385780666909951</v>
      </c>
    </row>
    <row r="43" spans="2:18" ht="15">
      <c r="B43" s="13" t="s">
        <v>81</v>
      </c>
      <c r="F43" s="11" t="str">
        <f>+IFERROR(_xlfn.XLOOKUP("Total Debt",Inputs!$B:$B,Inputs!G:G,,,-1)/_xlfn.XLOOKUP("EBITDA",Inputs!$B:$B,Inputs!G:G),"")</f>
        <v/>
      </c>
      <c r="G43" s="11" t="str">
        <f>+IFERROR(_xlfn.XLOOKUP("Total Debt",Inputs!$B:$B,Inputs!H:H,,,-1)/_xlfn.XLOOKUP("EBITDA",Inputs!$B:$B,Inputs!H:H),"")</f>
        <v/>
      </c>
      <c r="H43" s="11" t="str">
        <f>+IFERROR(_xlfn.XLOOKUP("Total Debt",Inputs!$B:$B,Inputs!I:I,,,-1)/_xlfn.XLOOKUP("EBITDA",Inputs!$B:$B,Inputs!I:I),"")</f>
        <v/>
      </c>
      <c r="I43" s="11" t="str">
        <f>+IFERROR(_xlfn.XLOOKUP("Total Debt",Inputs!$B:$B,Inputs!J:J,,,-1)/_xlfn.XLOOKUP("EBITDA",Inputs!$B:$B,Inputs!J:J),"")</f>
        <v/>
      </c>
      <c r="J43" s="11" t="str">
        <f>+IFERROR(_xlfn.XLOOKUP("Total Debt",Inputs!$B:$B,Inputs!K:K,,,-1)/_xlfn.XLOOKUP("EBITDA",Inputs!$B:$B,Inputs!K:K),"")</f>
        <v/>
      </c>
      <c r="K43" s="11" t="str">
        <f>+IFERROR(_xlfn.XLOOKUP("Total Debt",Inputs!$B:$B,Inputs!L:L,,,-1)/_xlfn.XLOOKUP("EBITDA",Inputs!$B:$B,Inputs!L:L),"")</f>
        <v/>
      </c>
      <c r="L43" s="11">
        <f>+IFERROR(_xlfn.XLOOKUP("Total Debt",Inputs!$B:$B,Inputs!M:M,,,-1)/_xlfn.XLOOKUP("EBITDA",Inputs!$B:$B,Inputs!M:M),"")</f>
        <v>-0.29798367403893111</v>
      </c>
      <c r="M43" s="11">
        <f>+IFERROR(_xlfn.XLOOKUP("Total Debt",Inputs!$B:$B,Inputs!N:N,,,-1)/_xlfn.XLOOKUP("EBITDA",Inputs!$B:$B,Inputs!N:N),"")</f>
        <v>-0.11652231661086361</v>
      </c>
      <c r="N43" s="11">
        <f>+IFERROR(_xlfn.XLOOKUP("Total Debt",Inputs!$B:$B,Inputs!O:O,,,-1)/_xlfn.XLOOKUP("EBITDA",Inputs!$B:$B,Inputs!O:O),"")</f>
        <v>-5.0535299842779068E-2</v>
      </c>
      <c r="O43" s="11">
        <f>+IFERROR(_xlfn.XLOOKUP("Total Debt",Inputs!$B:$B,Inputs!P:P,,,-1)/_xlfn.XLOOKUP("EBITDA",Inputs!$B:$B,Inputs!P:P),"")</f>
        <v>-5.4994266483013185E-2</v>
      </c>
      <c r="P43" s="324">
        <f>+IFERROR(_xlfn.XLOOKUP("Total Debt",Inputs!$B:$B,Inputs!Q:Q,,,-1)/_xlfn.XLOOKUP("EBITDA",Inputs!$B:$B,Inputs!Q:Q),"")</f>
        <v>-8.2904195957923491E-2</v>
      </c>
      <c r="Q43" s="331">
        <f ca="1">IFERROR((_xlfn.XLOOKUP("Total Borrowings",DCF!$B:$B,DCF!G:G)+_xlfn.XLOOKUP("Total Leases",DCF!$B:$B,DCF!G:G))/_xlfn.XLOOKUP("EBITDA",DCF!$B:$B,DCF!H:H),"")</f>
        <v>-6.7522536241697545E-2</v>
      </c>
      <c r="R43" s="331">
        <f ca="1">IFERROR((_xlfn.XLOOKUP("Total Borrowings",DCF!$B:$B,DCF!H:H)+_xlfn.XLOOKUP("Total Leases",DCF!$B:$B,DCF!H:H))/_xlfn.XLOOKUP("EBITDA",DCF!$B:$B,DCF!I:I),"")</f>
        <v>-0.85664771018963914</v>
      </c>
    </row>
    <row r="44" spans="2:18" ht="15">
      <c r="B44" s="13" t="s">
        <v>83</v>
      </c>
      <c r="F44" s="11" t="str">
        <f>IFERROR(_xlfn.XLOOKUP("Total Debt",Inputs!$B:$B,Inputs!G:G,,,-1)/(_xlfn.XLOOKUP("EBITDA",Inputs!$B:$B,Inputs!G:G)+_xlfn.XLOOKUP("Net Capex",Inputs!$B:$B,Inputs!G:G)),"")</f>
        <v/>
      </c>
      <c r="G44" s="11" t="str">
        <f>IFERROR(_xlfn.XLOOKUP("Total Debt",Inputs!$B:$B,Inputs!H:H,,,-1)/(_xlfn.XLOOKUP("EBITDA",Inputs!$B:$B,Inputs!H:H)+_xlfn.XLOOKUP("Net Capex",Inputs!$B:$B,Inputs!H:H)),"")</f>
        <v/>
      </c>
      <c r="H44" s="11" t="str">
        <f>IFERROR(_xlfn.XLOOKUP("Total Debt",Inputs!$B:$B,Inputs!I:I,,,-1)/(_xlfn.XLOOKUP("EBITDA",Inputs!$B:$B,Inputs!I:I)+_xlfn.XLOOKUP("Net Capex",Inputs!$B:$B,Inputs!I:I)),"")</f>
        <v/>
      </c>
      <c r="I44" s="11" t="str">
        <f>IFERROR(_xlfn.XLOOKUP("Total Debt",Inputs!$B:$B,Inputs!J:J,,,-1)/(_xlfn.XLOOKUP("EBITDA",Inputs!$B:$B,Inputs!J:J)+_xlfn.XLOOKUP("Net Capex",Inputs!$B:$B,Inputs!J:J)),"")</f>
        <v/>
      </c>
      <c r="J44" s="11" t="str">
        <f>IFERROR(_xlfn.XLOOKUP("Total Debt",Inputs!$B:$B,Inputs!K:K,,,-1)/(_xlfn.XLOOKUP("EBITDA",Inputs!$B:$B,Inputs!K:K)+_xlfn.XLOOKUP("Net Capex",Inputs!$B:$B,Inputs!K:K)),"")</f>
        <v/>
      </c>
      <c r="K44" s="11" t="str">
        <f>IFERROR(_xlfn.XLOOKUP("Total Debt",Inputs!$B:$B,Inputs!L:L,,,-1)/(_xlfn.XLOOKUP("EBITDA",Inputs!$B:$B,Inputs!L:L)+_xlfn.XLOOKUP("Net Capex",Inputs!$B:$B,Inputs!L:L)),"")</f>
        <v/>
      </c>
      <c r="L44" s="11">
        <f>IFERROR(_xlfn.XLOOKUP("Total Debt",Inputs!$B:$B,Inputs!M:M,,,-1)/(_xlfn.XLOOKUP("EBITDA",Inputs!$B:$B,Inputs!M:M)+_xlfn.XLOOKUP("Net Capex",Inputs!$B:$B,Inputs!M:M)),"")</f>
        <v>-0.1642123880195317</v>
      </c>
      <c r="M44" s="11">
        <f>IFERROR(_xlfn.XLOOKUP("Total Debt",Inputs!$B:$B,Inputs!N:N,,,-1)/(_xlfn.XLOOKUP("EBITDA",Inputs!$B:$B,Inputs!N:N)+_xlfn.XLOOKUP("Net Capex",Inputs!$B:$B,Inputs!N:N)),"")</f>
        <v>-9.1220241318805101E-2</v>
      </c>
      <c r="N44" s="11">
        <f>IFERROR(_xlfn.XLOOKUP("Total Debt",Inputs!$B:$B,Inputs!O:O,,,-1)/(_xlfn.XLOOKUP("EBITDA",Inputs!$B:$B,Inputs!O:O)+_xlfn.XLOOKUP("Net Capex",Inputs!$B:$B,Inputs!O:O)),"")</f>
        <v>-4.3686492783638599E-2</v>
      </c>
      <c r="O44" s="11">
        <f>IFERROR(_xlfn.XLOOKUP("Total Debt",Inputs!$B:$B,Inputs!P:P,,,-1)/(_xlfn.XLOOKUP("EBITDA",Inputs!$B:$B,Inputs!P:P)+_xlfn.XLOOKUP("Net Capex",Inputs!$B:$B,Inputs!P:P)),"")</f>
        <v>-4.8553867535704016E-2</v>
      </c>
      <c r="P44" s="324">
        <f>IFERROR(_xlfn.XLOOKUP("Total Debt",Inputs!$B:$B,Inputs!Q:Q,,,-1)/(_xlfn.XLOOKUP("EBITDA",Inputs!$B:$B,Inputs!Q:Q)+_xlfn.XLOOKUP("Net Capex",Inputs!$B:$B,Inputs!Q:Q)),"")</f>
        <v>-7.4672452289674354E-2</v>
      </c>
      <c r="Q44" s="331">
        <f ca="1">IFERROR((_xlfn.XLOOKUP("Total Borrowings",DCF!$B:$B,DCF!G:G)+_xlfn.XLOOKUP("Total Leases",DCF!$B:$B,DCF!G:G))/(_xlfn.XLOOKUP("EBITDA",DCF!$B:$B,DCF!H:H)+_xlfn.XLOOKUP("Net Capex",DCF!$B:$B,DCF!H:H)),"")</f>
        <v>-5.9687500157847767E-2</v>
      </c>
      <c r="R44" s="331">
        <f ca="1">IFERROR((_xlfn.XLOOKUP("Total Borrowings",DCF!$B:$B,DCF!H:H)+_xlfn.XLOOKUP("Total Leases",DCF!$B:$B,DCF!H:H))/(_xlfn.XLOOKUP("EBITDA",DCF!$B:$B,DCF!I:I)+_xlfn.XLOOKUP("Net Capex",DCF!$B:$B,DCF!I:I)),"")</f>
        <v>-0.72976311131448179</v>
      </c>
    </row>
    <row r="45" spans="2:18" ht="15">
      <c r="B45" s="13" t="s">
        <v>85</v>
      </c>
      <c r="F45" s="11" t="str">
        <f>+IFERROR(_xlfn.XLOOKUP("Net Debt",Inputs!$B:$B,Inputs!G:G,,,-1)/_xlfn.XLOOKUP("EBITDA",Inputs!$B:$B,Inputs!G:G),"")</f>
        <v/>
      </c>
      <c r="G45" s="11" t="str">
        <f>+IFERROR(_xlfn.XLOOKUP("Net Debt",Inputs!$B:$B,Inputs!H:H,,,-1)/_xlfn.XLOOKUP("EBITDA",Inputs!$B:$B,Inputs!H:H),"")</f>
        <v/>
      </c>
      <c r="H45" s="11" t="str">
        <f>+IFERROR(_xlfn.XLOOKUP("Net Debt",Inputs!$B:$B,Inputs!I:I,,,-1)/_xlfn.XLOOKUP("EBITDA",Inputs!$B:$B,Inputs!I:I),"")</f>
        <v/>
      </c>
      <c r="I45" s="11" t="str">
        <f>+IFERROR(_xlfn.XLOOKUP("Net Debt",Inputs!$B:$B,Inputs!J:J,,,-1)/_xlfn.XLOOKUP("EBITDA",Inputs!$B:$B,Inputs!J:J),"")</f>
        <v/>
      </c>
      <c r="J45" s="11" t="str">
        <f>+IFERROR(_xlfn.XLOOKUP("Net Debt",Inputs!$B:$B,Inputs!K:K,,,-1)/_xlfn.XLOOKUP("EBITDA",Inputs!$B:$B,Inputs!K:K),"")</f>
        <v/>
      </c>
      <c r="K45" s="11" t="str">
        <f>+IFERROR(_xlfn.XLOOKUP("Net Debt",Inputs!$B:$B,Inputs!L:L,,,-1)/_xlfn.XLOOKUP("EBITDA",Inputs!$B:$B,Inputs!L:L),"")</f>
        <v/>
      </c>
      <c r="L45" s="11">
        <f>+IFERROR(_xlfn.XLOOKUP("Net Debt",Inputs!$B:$B,Inputs!M:M,,,-1)/_xlfn.XLOOKUP("EBITDA",Inputs!$B:$B,Inputs!M:M),"")</f>
        <v>2.222074931975162</v>
      </c>
      <c r="M45" s="11">
        <f>+IFERROR(_xlfn.XLOOKUP("Net Debt",Inputs!$B:$B,Inputs!N:N,,,-1)/_xlfn.XLOOKUP("EBITDA",Inputs!$B:$B,Inputs!N:N),"")</f>
        <v>14.340656908049475</v>
      </c>
      <c r="N45" s="11">
        <f>+IFERROR(_xlfn.XLOOKUP("Net Debt",Inputs!$B:$B,Inputs!O:O,,,-1)/_xlfn.XLOOKUP("EBITDA",Inputs!$B:$B,Inputs!O:O),"")</f>
        <v>4.3890469416785205</v>
      </c>
      <c r="O45" s="11">
        <f>+IFERROR(_xlfn.XLOOKUP("Net Debt",Inputs!$B:$B,Inputs!P:P,,,-1)/_xlfn.XLOOKUP("EBITDA",Inputs!$B:$B,Inputs!P:P),"")</f>
        <v>2.3567536758968375</v>
      </c>
      <c r="P45" s="324">
        <f>+IFERROR(_xlfn.XLOOKUP("Net Debt",Inputs!$B:$B,Inputs!Q:Q,,,-1)/_xlfn.XLOOKUP("EBITDA",Inputs!$B:$B,Inputs!Q:Q),"")</f>
        <v>1.508711371789655</v>
      </c>
      <c r="Q45" s="331">
        <f ca="1">IFERROR((_xlfn.XLOOKUP("Total Borrowings",DCF!$B:$B,DCF!G:G)+_xlfn.XLOOKUP("Total Leases",DCF!$B:$B,DCF!G:G)-_xlfn.XLOOKUP("Cash &amp; Cash Equivalents &amp; ST Investments",DCF!$B:$B,DCF!G:G))/_xlfn.XLOOKUP("EBITDA",DCF!$B:$B,DCF!H:H),"")</f>
        <v>1.228792066587697</v>
      </c>
      <c r="R45" s="331">
        <f ca="1">IFERROR((_xlfn.XLOOKUP("Total Borrowings",DCF!$B:$B,DCF!H:H)+_xlfn.XLOOKUP("Total Leases",DCF!$B:$B,DCF!H:H)-_xlfn.XLOOKUP("Cash &amp; Cash Equivalents &amp; ST Investments",DCF!$B:$B,DCF!H:H))/_xlfn.XLOOKUP("EBITDA",DCF!$B:$B,DCF!I:I),"")</f>
        <v>-0.68366239601718459</v>
      </c>
    </row>
    <row r="46" spans="2:18" ht="8.1" customHeight="1">
      <c r="B46" s="226"/>
      <c r="N46" s="228"/>
      <c r="O46" s="228"/>
      <c r="P46" s="327"/>
      <c r="Q46" s="332"/>
      <c r="R46" s="332"/>
    </row>
    <row r="47" spans="2:18" ht="15.75">
      <c r="B47" s="7" t="s">
        <v>548</v>
      </c>
      <c r="C47" s="47"/>
      <c r="D47" s="49"/>
      <c r="E47" s="49"/>
      <c r="F47" s="346">
        <v>2014</v>
      </c>
      <c r="G47" s="346">
        <f t="shared" ref="G47" si="39">+F47+1</f>
        <v>2015</v>
      </c>
      <c r="H47" s="346">
        <f t="shared" ref="H47" si="40">+G47+1</f>
        <v>2016</v>
      </c>
      <c r="I47" s="346">
        <f t="shared" ref="I47" si="41">+H47+1</f>
        <v>2017</v>
      </c>
      <c r="J47" s="346">
        <f t="shared" ref="J47" si="42">+I47+1</f>
        <v>2018</v>
      </c>
      <c r="K47" s="346">
        <f t="shared" ref="K47" si="43">+J47+1</f>
        <v>2019</v>
      </c>
      <c r="L47" s="346">
        <f t="shared" ref="L47" si="44">+K47+1</f>
        <v>2020</v>
      </c>
      <c r="M47" s="346">
        <f t="shared" ref="M47" si="45">+L47+1</f>
        <v>2021</v>
      </c>
      <c r="N47" s="346">
        <v>2022</v>
      </c>
      <c r="O47" s="346">
        <f t="shared" ref="O47" si="46">+N47+1</f>
        <v>2023</v>
      </c>
      <c r="P47" s="347">
        <f>+O47+1</f>
        <v>2024</v>
      </c>
      <c r="Q47" s="345">
        <f>+P47+1</f>
        <v>2025</v>
      </c>
      <c r="R47" s="345">
        <f>+Q47+1</f>
        <v>2026</v>
      </c>
    </row>
    <row r="48" spans="2:18" ht="3.95" customHeight="1">
      <c r="B48" s="225"/>
      <c r="C48" s="44"/>
      <c r="D48" s="50"/>
      <c r="E48" s="50"/>
      <c r="F48" s="50"/>
      <c r="G48" s="50"/>
      <c r="H48" s="50"/>
      <c r="I48" s="50"/>
      <c r="J48" s="50"/>
      <c r="K48" s="50"/>
      <c r="L48" s="50"/>
      <c r="M48" s="50"/>
      <c r="N48" s="200"/>
      <c r="O48" s="200"/>
      <c r="P48" s="326"/>
      <c r="Q48" s="200"/>
      <c r="R48" s="200"/>
    </row>
    <row r="49" spans="2:18" ht="15">
      <c r="B49" s="226" t="s">
        <v>87</v>
      </c>
      <c r="F49" s="11" t="str">
        <f>IFERROR(_xlfn.XLOOKUP("Operating Income (EBIT)",Inputs!$B:$B,Inputs!G:G)/_xlfn.XLOOKUP("Interest Expense",Inputs!$B:$B,Inputs!G:G),"N/A")</f>
        <v>N/A</v>
      </c>
      <c r="G49" s="11" t="str">
        <f>IFERROR(_xlfn.XLOOKUP("Operating Income (EBIT)",Inputs!$B:$B,Inputs!H:H)/_xlfn.XLOOKUP("Interest Expense",Inputs!$B:$B,Inputs!H:H),"N/A")</f>
        <v>N/A</v>
      </c>
      <c r="H49" s="11" t="str">
        <f>IFERROR(_xlfn.XLOOKUP("Operating Income (EBIT)",Inputs!$B:$B,Inputs!I:I)/_xlfn.XLOOKUP("Interest Expense",Inputs!$B:$B,Inputs!I:I),"N/A")</f>
        <v>N/A</v>
      </c>
      <c r="I49" s="11" t="str">
        <f>IFERROR(_xlfn.XLOOKUP("Operating Income (EBIT)",Inputs!$B:$B,Inputs!J:J)/_xlfn.XLOOKUP("Interest Expense",Inputs!$B:$B,Inputs!J:J),"N/A")</f>
        <v>N/A</v>
      </c>
      <c r="J49" s="11" t="str">
        <f>IFERROR(_xlfn.XLOOKUP("Operating Income (EBIT)",Inputs!$B:$B,Inputs!K:K)/_xlfn.XLOOKUP("Interest Expense",Inputs!$B:$B,Inputs!K:K),"N/A")</f>
        <v>N/A</v>
      </c>
      <c r="K49" s="11" t="str">
        <f>IFERROR(_xlfn.XLOOKUP("Operating Income (EBIT)",Inputs!$B:$B,Inputs!L:L)/_xlfn.XLOOKUP("Interest Expense",Inputs!$B:$B,Inputs!L:L),"N/A")</f>
        <v>N/A</v>
      </c>
      <c r="L49" s="11" t="str">
        <f>IFERROR(_xlfn.XLOOKUP("Operating Income (EBIT)",Inputs!$B:$B,Inputs!M:M)/_xlfn.XLOOKUP("Interest Expense",Inputs!$B:$B,Inputs!M:M),"N/A")</f>
        <v>N/A</v>
      </c>
      <c r="M49" s="11" t="str">
        <f>IFERROR(_xlfn.XLOOKUP("Operating Income (EBIT)",Inputs!$B:$B,Inputs!N:N)/_xlfn.XLOOKUP("Interest Expense",Inputs!$B:$B,Inputs!N:N),"N/A")</f>
        <v>N/A</v>
      </c>
      <c r="N49" s="11" t="str">
        <f>IFERROR(_xlfn.XLOOKUP("Operating Income (EBIT)",Inputs!$B:$B,Inputs!O:O)/_xlfn.XLOOKUP("Interest Expense",Inputs!$B:$B,Inputs!O:O),"N/A")</f>
        <v>N/A</v>
      </c>
      <c r="O49" s="11" t="str">
        <f>IFERROR(_xlfn.XLOOKUP("Operating Income (EBIT)",Inputs!$B:$B,Inputs!P:P)/_xlfn.XLOOKUP("Interest Expense",Inputs!$B:$B,Inputs!P:P),"N/A")</f>
        <v>N/A</v>
      </c>
      <c r="P49" s="324" t="str">
        <f>IFERROR(_xlfn.XLOOKUP("Operating Income (EBIT)",Inputs!$B:$B,Inputs!Q:Q)/_xlfn.XLOOKUP("Interest Expense",Inputs!$B:$B,Inputs!Q:Q),"N/A")</f>
        <v>N/A</v>
      </c>
      <c r="Q49" s="331" t="str">
        <f ca="1">IFERROR(_xlfn.XLOOKUP("EBIT",DCF!$B:$B,DCF!H:H)/_xlfn.XLOOKUP("Interest Expense",DCF!$B:$B,DCF!H:H),"N/A")</f>
        <v>N/A</v>
      </c>
      <c r="R49" s="331" t="str">
        <f ca="1">IFERROR(_xlfn.XLOOKUP("EBIT",DCF!$B:$B,DCF!I:I)/_xlfn.XLOOKUP("Interest Expense",DCF!$B:$B,DCF!I:I),"N/A")</f>
        <v>N/A</v>
      </c>
    </row>
    <row r="50" spans="2:18" ht="15">
      <c r="B50" s="13" t="s">
        <v>88</v>
      </c>
      <c r="F50" s="11" t="str">
        <f>IFERROR(_xlfn.XLOOKUP("EBITDA",Inputs!$B:$B,Inputs!G:G)/_xlfn.XLOOKUP("Interest Expense",Inputs!$B:$B,Inputs!G:G),"N/A")</f>
        <v>N/A</v>
      </c>
      <c r="G50" s="11" t="str">
        <f>IFERROR(_xlfn.XLOOKUP("EBITDA",Inputs!$B:$B,Inputs!H:H)/_xlfn.XLOOKUP("Interest Expense",Inputs!$B:$B,Inputs!H:H),"N/A")</f>
        <v>N/A</v>
      </c>
      <c r="H50" s="11" t="str">
        <f>IFERROR(_xlfn.XLOOKUP("EBITDA",Inputs!$B:$B,Inputs!I:I)/_xlfn.XLOOKUP("Interest Expense",Inputs!$B:$B,Inputs!I:I),"N/A")</f>
        <v>N/A</v>
      </c>
      <c r="I50" s="11" t="str">
        <f>IFERROR(_xlfn.XLOOKUP("EBITDA",Inputs!$B:$B,Inputs!J:J)/_xlfn.XLOOKUP("Interest Expense",Inputs!$B:$B,Inputs!J:J),"N/A")</f>
        <v>N/A</v>
      </c>
      <c r="J50" s="11" t="str">
        <f>IFERROR(_xlfn.XLOOKUP("EBITDA",Inputs!$B:$B,Inputs!K:K)/_xlfn.XLOOKUP("Interest Expense",Inputs!$B:$B,Inputs!K:K),"N/A")</f>
        <v>N/A</v>
      </c>
      <c r="K50" s="11" t="str">
        <f>IFERROR(_xlfn.XLOOKUP("EBITDA",Inputs!$B:$B,Inputs!L:L)/_xlfn.XLOOKUP("Interest Expense",Inputs!$B:$B,Inputs!L:L),"N/A")</f>
        <v>N/A</v>
      </c>
      <c r="L50" s="11" t="str">
        <f>IFERROR(_xlfn.XLOOKUP("EBITDA",Inputs!$B:$B,Inputs!M:M)/_xlfn.XLOOKUP("Interest Expense",Inputs!$B:$B,Inputs!M:M),"N/A")</f>
        <v>N/A</v>
      </c>
      <c r="M50" s="11" t="str">
        <f>IFERROR(_xlfn.XLOOKUP("EBITDA",Inputs!$B:$B,Inputs!N:N)/_xlfn.XLOOKUP("Interest Expense",Inputs!$B:$B,Inputs!N:N),"N/A")</f>
        <v>N/A</v>
      </c>
      <c r="N50" s="11" t="str">
        <f>IFERROR(_xlfn.XLOOKUP("EBITDA",Inputs!$B:$B,Inputs!O:O)/_xlfn.XLOOKUP("Interest Expense",Inputs!$B:$B,Inputs!O:O),"N/A")</f>
        <v>N/A</v>
      </c>
      <c r="O50" s="11" t="str">
        <f>IFERROR(_xlfn.XLOOKUP("EBITDA",Inputs!$B:$B,Inputs!P:P)/_xlfn.XLOOKUP("Interest Expense",Inputs!$B:$B,Inputs!P:P),"N/A")</f>
        <v>N/A</v>
      </c>
      <c r="P50" s="324" t="str">
        <f>IFERROR(_xlfn.XLOOKUP("EBITDA",Inputs!$B:$B,Inputs!Q:Q)/_xlfn.XLOOKUP("Interest Expense",Inputs!$B:$B,Inputs!Q:Q),"N/A")</f>
        <v>N/A</v>
      </c>
      <c r="Q50" s="331" t="str">
        <f ca="1">IFERROR(_xlfn.XLOOKUP("EBITDA",DCF!$B:$B,DCF!H:H)/_xlfn.XLOOKUP("Interest Expense",DCF!$B:$B,DCF!H:H),"N/A")</f>
        <v>N/A</v>
      </c>
      <c r="R50" s="331" t="str">
        <f ca="1">IFERROR(_xlfn.XLOOKUP("EBITDA",DCF!$B:$B,DCF!I:I)/_xlfn.XLOOKUP("Interest Expense",DCF!$B:$B,DCF!I:I),"N/A")</f>
        <v>N/A</v>
      </c>
    </row>
    <row r="51" spans="2:18" ht="15">
      <c r="B51" s="13" t="s">
        <v>89</v>
      </c>
      <c r="F51" s="11" t="str">
        <f>IFERROR((_xlfn.XLOOKUP("EBITDA",Inputs!$B:$B,Inputs!G:G)-_xlfn.XLOOKUP("Net Capex",Inputs!$B:$B,Inputs!G:G))/_xlfn.XLOOKUP("Interest Expense",Inputs!$B:$B,Inputs!G:G),"N/A")</f>
        <v>N/A</v>
      </c>
      <c r="G51" s="11" t="str">
        <f>IFERROR((_xlfn.XLOOKUP("EBITDA",Inputs!$B:$B,Inputs!H:H)-_xlfn.XLOOKUP("Net Capex",Inputs!$B:$B,Inputs!H:H))/_xlfn.XLOOKUP("Interest Expense",Inputs!$B:$B,Inputs!H:H),"N/A")</f>
        <v>N/A</v>
      </c>
      <c r="H51" s="11" t="str">
        <f>IFERROR((_xlfn.XLOOKUP("EBITDA",Inputs!$B:$B,Inputs!I:I)-_xlfn.XLOOKUP("Net Capex",Inputs!$B:$B,Inputs!I:I))/_xlfn.XLOOKUP("Interest Expense",Inputs!$B:$B,Inputs!I:I),"N/A")</f>
        <v>N/A</v>
      </c>
      <c r="I51" s="11" t="str">
        <f>IFERROR((_xlfn.XLOOKUP("EBITDA",Inputs!$B:$B,Inputs!J:J)-_xlfn.XLOOKUP("Net Capex",Inputs!$B:$B,Inputs!J:J))/_xlfn.XLOOKUP("Interest Expense",Inputs!$B:$B,Inputs!J:J),"N/A")</f>
        <v>N/A</v>
      </c>
      <c r="J51" s="11" t="str">
        <f>IFERROR((_xlfn.XLOOKUP("EBITDA",Inputs!$B:$B,Inputs!K:K)-_xlfn.XLOOKUP("Net Capex",Inputs!$B:$B,Inputs!K:K))/_xlfn.XLOOKUP("Interest Expense",Inputs!$B:$B,Inputs!K:K),"N/A")</f>
        <v>N/A</v>
      </c>
      <c r="K51" s="11" t="str">
        <f>IFERROR((_xlfn.XLOOKUP("EBITDA",Inputs!$B:$B,Inputs!L:L)-_xlfn.XLOOKUP("Net Capex",Inputs!$B:$B,Inputs!L:L))/_xlfn.XLOOKUP("Interest Expense",Inputs!$B:$B,Inputs!L:L),"N/A")</f>
        <v>N/A</v>
      </c>
      <c r="L51" s="11" t="str">
        <f>IFERROR((_xlfn.XLOOKUP("EBITDA",Inputs!$B:$B,Inputs!M:M)-_xlfn.XLOOKUP("Net Capex",Inputs!$B:$B,Inputs!M:M))/_xlfn.XLOOKUP("Interest Expense",Inputs!$B:$B,Inputs!M:M),"N/A")</f>
        <v>N/A</v>
      </c>
      <c r="M51" s="11" t="str">
        <f>IFERROR((_xlfn.XLOOKUP("EBITDA",Inputs!$B:$B,Inputs!N:N)-_xlfn.XLOOKUP("Net Capex",Inputs!$B:$B,Inputs!N:N))/_xlfn.XLOOKUP("Interest Expense",Inputs!$B:$B,Inputs!N:N),"N/A")</f>
        <v>N/A</v>
      </c>
      <c r="N51" s="11" t="str">
        <f>IFERROR((_xlfn.XLOOKUP("EBITDA",Inputs!$B:$B,Inputs!O:O)-_xlfn.XLOOKUP("Net Capex",Inputs!$B:$B,Inputs!O:O))/_xlfn.XLOOKUP("Interest Expense",Inputs!$B:$B,Inputs!O:O),"N/A")</f>
        <v>N/A</v>
      </c>
      <c r="O51" s="11" t="str">
        <f>IFERROR((_xlfn.XLOOKUP("EBITDA",Inputs!$B:$B,Inputs!P:P)-_xlfn.XLOOKUP("Net Capex",Inputs!$B:$B,Inputs!P:P))/_xlfn.XLOOKUP("Interest Expense",Inputs!$B:$B,Inputs!P:P),"N/A")</f>
        <v>N/A</v>
      </c>
      <c r="P51" s="324" t="str">
        <f>IFERROR((_xlfn.XLOOKUP("EBITDA",Inputs!$B:$B,Inputs!Q:Q)-_xlfn.XLOOKUP("Net Capex",Inputs!$B:$B,Inputs!Q:Q))/_xlfn.XLOOKUP("Interest Expense",Inputs!$B:$B,Inputs!Q:Q),"N/A")</f>
        <v>N/A</v>
      </c>
      <c r="Q51" s="331" t="str">
        <f ca="1">IFERROR((_xlfn.XLOOKUP("EBITDA",DCF!$B:$B,DCF!H:H)-_xlfn.XLOOKUP("Net Capex",DCF!$B:$B,DCF!H:H))/_xlfn.XLOOKUP("Interest Expense",DCF!$B:$B,DCF!H:H),"N/A")</f>
        <v>N/A</v>
      </c>
      <c r="R51" s="331" t="str">
        <f ca="1">IFERROR((_xlfn.XLOOKUP("EBITDA",DCF!$B:$B,DCF!I:I)-_xlfn.XLOOKUP("Net Capex",DCF!$B:$B,DCF!I:I))/_xlfn.XLOOKUP("Interest Expense",DCF!$B:$B,DCF!I:I),"N/A")</f>
        <v>N/A</v>
      </c>
    </row>
    <row r="52" spans="2:18">
      <c r="P52" s="325"/>
      <c r="Q52" s="336"/>
      <c r="R52" s="336"/>
    </row>
    <row r="53" spans="2:18" ht="15.75">
      <c r="B53" s="7" t="s">
        <v>61</v>
      </c>
      <c r="C53" s="47"/>
      <c r="D53" s="49"/>
      <c r="E53" s="49"/>
      <c r="F53" s="346">
        <v>2014</v>
      </c>
      <c r="G53" s="346">
        <f t="shared" ref="G53" si="47">+F53+1</f>
        <v>2015</v>
      </c>
      <c r="H53" s="346">
        <f t="shared" ref="H53" si="48">+G53+1</f>
        <v>2016</v>
      </c>
      <c r="I53" s="346">
        <f t="shared" ref="I53" si="49">+H53+1</f>
        <v>2017</v>
      </c>
      <c r="J53" s="346">
        <f t="shared" ref="J53" si="50">+I53+1</f>
        <v>2018</v>
      </c>
      <c r="K53" s="346">
        <f t="shared" ref="K53" si="51">+J53+1</f>
        <v>2019</v>
      </c>
      <c r="L53" s="346">
        <f t="shared" ref="L53" si="52">+K53+1</f>
        <v>2020</v>
      </c>
      <c r="M53" s="346">
        <f t="shared" ref="M53" si="53">+L53+1</f>
        <v>2021</v>
      </c>
      <c r="N53" s="346">
        <v>2022</v>
      </c>
      <c r="O53" s="346">
        <f t="shared" ref="O53" si="54">+N53+1</f>
        <v>2023</v>
      </c>
      <c r="P53" s="347">
        <f>+O53+1</f>
        <v>2024</v>
      </c>
      <c r="Q53" s="345">
        <f>+P53+1</f>
        <v>2025</v>
      </c>
      <c r="R53" s="345">
        <f>+Q53+1</f>
        <v>2026</v>
      </c>
    </row>
    <row r="54" spans="2:18" ht="3.75" customHeight="1">
      <c r="B54" s="225"/>
      <c r="C54" s="44"/>
      <c r="D54" s="50"/>
      <c r="E54" s="50"/>
      <c r="F54" s="50"/>
      <c r="G54" s="50"/>
      <c r="H54" s="50"/>
      <c r="I54" s="50"/>
      <c r="J54" s="50"/>
      <c r="K54" s="50"/>
      <c r="L54" s="50"/>
      <c r="M54" s="50"/>
      <c r="N54" s="200"/>
      <c r="O54" s="200"/>
      <c r="P54" s="326"/>
      <c r="Q54" s="200"/>
      <c r="R54" s="200"/>
    </row>
    <row r="55" spans="2:18" ht="15">
      <c r="B55" s="13" t="s">
        <v>235</v>
      </c>
      <c r="F55" s="342" t="str">
        <f>+IFERROR(_xlfn.XLOOKUP("Operating Cash Flow",Inputs!$B:$B,Inputs!G:G,,,-1)/_xlfn.XLOOKUP("Revenue (Sales)",Inputs!$B:$B,Inputs!G:G),"")</f>
        <v/>
      </c>
      <c r="G55" s="342" t="str">
        <f>+IFERROR(_xlfn.XLOOKUP("Operating Cash Flow",Inputs!$B:$B,Inputs!H:H,,,-1)/_xlfn.XLOOKUP("Revenue (Sales)",Inputs!$B:$B,Inputs!H:H),"")</f>
        <v/>
      </c>
      <c r="H55" s="342" t="str">
        <f>+IFERROR(_xlfn.XLOOKUP("Operating Cash Flow",Inputs!$B:$B,Inputs!I:I,,,-1)/_xlfn.XLOOKUP("Revenue (Sales)",Inputs!$B:$B,Inputs!I:I),"")</f>
        <v/>
      </c>
      <c r="I55" s="342" t="str">
        <f>+IFERROR(_xlfn.XLOOKUP("Operating Cash Flow",Inputs!$B:$B,Inputs!J:J,,,-1)/_xlfn.XLOOKUP("Revenue (Sales)",Inputs!$B:$B,Inputs!J:J),"")</f>
        <v/>
      </c>
      <c r="J55" s="342" t="str">
        <f>+IFERROR(_xlfn.XLOOKUP("Operating Cash Flow",Inputs!$B:$B,Inputs!K:K,,,-1)/_xlfn.XLOOKUP("Revenue (Sales)",Inputs!$B:$B,Inputs!K:K),"")</f>
        <v/>
      </c>
      <c r="K55" s="342" t="str">
        <f>+IFERROR(_xlfn.XLOOKUP("Operating Cash Flow",Inputs!$B:$B,Inputs!L:L,,,-1)/_xlfn.XLOOKUP("Revenue (Sales)",Inputs!$B:$B,Inputs!L:L),"")</f>
        <v/>
      </c>
      <c r="L55" s="342" t="str">
        <f>+IFERROR(_xlfn.XLOOKUP("Operating Cash Flow",Inputs!$B:$B,Inputs!M:M,,,-1)/_xlfn.XLOOKUP("Revenue (Sales)",Inputs!$B:$B,Inputs!M:M),"")</f>
        <v/>
      </c>
      <c r="M55" s="342">
        <f>+IFERROR(_xlfn.XLOOKUP("Operating Cash Flow",Inputs!$B:$B,Inputs!N:N,,,-1)/_xlfn.XLOOKUP("Revenue (Sales)",Inputs!$B:$B,Inputs!N:N),"")</f>
        <v>-12.642686993806574</v>
      </c>
      <c r="N55" s="342">
        <f>+IFERROR(_xlfn.XLOOKUP("Operating Cash Flow",Inputs!$B:$B,Inputs!O:O,,,-1)/_xlfn.XLOOKUP("Revenue (Sales)",Inputs!$B:$B,Inputs!O:O),"")</f>
        <v>-4.0156320186865511</v>
      </c>
      <c r="O55" s="342">
        <f>+IFERROR(_xlfn.XLOOKUP("Operating Cash Flow",Inputs!$B:$B,Inputs!P:P,,,-1)/_xlfn.XLOOKUP("Revenue (Sales)",Inputs!$B:$B,Inputs!P:P),"")</f>
        <v>-3.5754922420832957</v>
      </c>
      <c r="P55" s="343">
        <f>+IFERROR(_xlfn.XLOOKUP("Operating Cash Flow",Inputs!$B:$B,Inputs!Q:Q,,,-1)/_xlfn.XLOOKUP("Revenue (Sales)",Inputs!$B:$B,Inputs!Q:Q),"")</f>
        <v>-2.4535788080700205</v>
      </c>
      <c r="Q55" s="344">
        <f ca="1">IFERROR(_xlfn.XLOOKUP("Operating Cash Flow",DCF!$B:$B,DCF!H:H)/_xlfn.XLOOKUP("Revenue (Sales)",DCF!$B:$B,DCF!H:H),"")</f>
        <v>-1.1634083319037527</v>
      </c>
      <c r="R55" s="344">
        <f ca="1">IFERROR(_xlfn.XLOOKUP("Operating Cash Flow",DCF!$B:$B,DCF!I:I)/_xlfn.XLOOKUP("Revenue (Sales)",DCF!$B:$B,DCF!I:I),"")</f>
        <v>-1.2451773475307497</v>
      </c>
    </row>
    <row r="56" spans="2:18" ht="15">
      <c r="B56" s="13" t="s">
        <v>236</v>
      </c>
      <c r="F56" s="342" t="str">
        <f>IFERROR(_xlfn.XLOOKUP("Net Changes in Cash",Inputs!$B:$B,Inputs!G:G,,,-1)/_xlfn.XLOOKUP("Net Income",Inputs!$B:$B,Inputs!G:G),"")</f>
        <v/>
      </c>
      <c r="G56" s="342" t="str">
        <f>IFERROR(_xlfn.XLOOKUP("Net Changes in Cash",Inputs!$B:$B,Inputs!H:H,,,-1)/_xlfn.XLOOKUP("Net Income",Inputs!$B:$B,Inputs!H:H),"")</f>
        <v/>
      </c>
      <c r="H56" s="342" t="str">
        <f>IFERROR(_xlfn.XLOOKUP("Net Changes in Cash",Inputs!$B:$B,Inputs!I:I,,,-1)/_xlfn.XLOOKUP("Net Income",Inputs!$B:$B,Inputs!I:I),"")</f>
        <v/>
      </c>
      <c r="I56" s="342" t="str">
        <f>IFERROR(_xlfn.XLOOKUP("Net Changes in Cash",Inputs!$B:$B,Inputs!J:J,,,-1)/_xlfn.XLOOKUP("Net Income",Inputs!$B:$B,Inputs!J:J),"")</f>
        <v/>
      </c>
      <c r="J56" s="342" t="str">
        <f>IFERROR(_xlfn.XLOOKUP("Net Changes in Cash",Inputs!$B:$B,Inputs!K:K,,,-1)/_xlfn.XLOOKUP("Net Income",Inputs!$B:$B,Inputs!K:K),"")</f>
        <v/>
      </c>
      <c r="K56" s="342" t="str">
        <f>IFERROR(_xlfn.XLOOKUP("Net Changes in Cash",Inputs!$B:$B,Inputs!L:L,,,-1)/_xlfn.XLOOKUP("Net Income",Inputs!$B:$B,Inputs!L:L),"")</f>
        <v/>
      </c>
      <c r="L56" s="342">
        <f>IFERROR(_xlfn.XLOOKUP("Net Changes in Cash",Inputs!$B:$B,Inputs!M:M,,,-1)/_xlfn.XLOOKUP("Net Income",Inputs!$B:$B,Inputs!M:M),"")</f>
        <v>1.5175700207468881</v>
      </c>
      <c r="M56" s="342">
        <f>IFERROR(_xlfn.XLOOKUP("Net Changes in Cash",Inputs!$B:$B,Inputs!N:N,,,-1)/_xlfn.XLOOKUP("Net Income",Inputs!$B:$B,Inputs!N:N),"")</f>
        <v>-3.4176350931384554</v>
      </c>
      <c r="N56" s="342">
        <f>IFERROR(_xlfn.XLOOKUP("Net Changes in Cash",Inputs!$B:$B,Inputs!O:O,,,-1)/_xlfn.XLOOKUP("Net Income",Inputs!$B:$B,Inputs!O:O),"")</f>
        <v>7.2696501824328505</v>
      </c>
      <c r="O56" s="342">
        <f>IFERROR(_xlfn.XLOOKUP("Net Changes in Cash",Inputs!$B:$B,Inputs!P:P,,,-1)/_xlfn.XLOOKUP("Net Income",Inputs!$B:$B,Inputs!P:P),"")</f>
        <v>5.2535124733323689E-2</v>
      </c>
      <c r="P56" s="343">
        <f>IFERROR(_xlfn.XLOOKUP("Net Changes in Cash",Inputs!$B:$B,Inputs!Q:Q,,,-1)/_xlfn.XLOOKUP("Net Income",Inputs!$B:$B,Inputs!Q:Q),"")</f>
        <v>-5.6573207299964921E-2</v>
      </c>
      <c r="Q56" s="344">
        <f ca="1">IFERROR(_xlfn.XLOOKUP("Net Changes in Cash",DCF!$B:$B,DCF!H:H)/_xlfn.XLOOKUP("Net Income",DCF!$B:$B,DCF!H:H),"")</f>
        <v>1.0141819560663223</v>
      </c>
      <c r="R56" s="344">
        <f ca="1">IFERROR(_xlfn.XLOOKUP("Net Changes in Cash",DCF!$B:$B,DCF!I:I)/_xlfn.XLOOKUP("Net Income",DCF!$B:$B,DCF!I:I),"")</f>
        <v>1.3435210391277814</v>
      </c>
    </row>
    <row r="57" spans="2:18" ht="15">
      <c r="B57" s="13" t="s">
        <v>237</v>
      </c>
      <c r="F57" s="342" t="str">
        <f>IFERROR(_xlfn.XLOOKUP("Operating Cash Flow",Inputs!$B:$B,Inputs!G:G,,,-1)/_xlfn.XLOOKUP("Net Income",Inputs!$B:$B,Inputs!G:G),"")</f>
        <v/>
      </c>
      <c r="G57" s="342" t="str">
        <f>IFERROR(_xlfn.XLOOKUP("Operating Cash Flow",Inputs!$B:$B,Inputs!H:H,,,-1)/_xlfn.XLOOKUP("Net Income",Inputs!$B:$B,Inputs!H:H),"")</f>
        <v/>
      </c>
      <c r="H57" s="342" t="str">
        <f>IFERROR(_xlfn.XLOOKUP("Operating Cash Flow",Inputs!$B:$B,Inputs!I:I,,,-1)/_xlfn.XLOOKUP("Net Income",Inputs!$B:$B,Inputs!I:I),"")</f>
        <v/>
      </c>
      <c r="I57" s="342" t="str">
        <f>IFERROR(_xlfn.XLOOKUP("Operating Cash Flow",Inputs!$B:$B,Inputs!J:J,,,-1)/_xlfn.XLOOKUP("Net Income",Inputs!$B:$B,Inputs!J:J),"")</f>
        <v/>
      </c>
      <c r="J57" s="342" t="str">
        <f>IFERROR(_xlfn.XLOOKUP("Operating Cash Flow",Inputs!$B:$B,Inputs!K:K,,,-1)/_xlfn.XLOOKUP("Net Income",Inputs!$B:$B,Inputs!K:K),"")</f>
        <v/>
      </c>
      <c r="K57" s="342" t="str">
        <f>IFERROR(_xlfn.XLOOKUP("Operating Cash Flow",Inputs!$B:$B,Inputs!L:L,,,-1)/_xlfn.XLOOKUP("Net Income",Inputs!$B:$B,Inputs!L:L),"")</f>
        <v/>
      </c>
      <c r="L57" s="342">
        <f>IFERROR(_xlfn.XLOOKUP("Operating Cash Flow",Inputs!$B:$B,Inputs!M:M,,,-1)/_xlfn.XLOOKUP("Net Income",Inputs!$B:$B,Inputs!M:M),"")</f>
        <v>0.77846213692946054</v>
      </c>
      <c r="M57" s="342">
        <f>IFERROR(_xlfn.XLOOKUP("Operating Cash Flow",Inputs!$B:$B,Inputs!N:N,,,-1)/_xlfn.XLOOKUP("Net Income",Inputs!$B:$B,Inputs!N:N),"")</f>
        <v>0.24991053434539393</v>
      </c>
      <c r="N57" s="342">
        <f>IFERROR(_xlfn.XLOOKUP("Operating Cash Flow",Inputs!$B:$B,Inputs!O:O,,,-1)/_xlfn.XLOOKUP("Net Income",Inputs!$B:$B,Inputs!O:O),"")</f>
        <v>0.92139927026859891</v>
      </c>
      <c r="O57" s="342">
        <f>IFERROR(_xlfn.XLOOKUP("Operating Cash Flow",Inputs!$B:$B,Inputs!P:P,,,-1)/_xlfn.XLOOKUP("Net Income",Inputs!$B:$B,Inputs!P:P),"")</f>
        <v>0.49967966634781236</v>
      </c>
      <c r="P57" s="343">
        <f>IFERROR(_xlfn.XLOOKUP("Operating Cash Flow",Inputs!$B:$B,Inputs!Q:Q,,,-1)/_xlfn.XLOOKUP("Net Income",Inputs!$B:$B,Inputs!Q:Q),"")</f>
        <v>0.31871774972451583</v>
      </c>
      <c r="Q57" s="344">
        <f ca="1">IFERROR(_xlfn.XLOOKUP("Operating Cash Flow",DCF!$B:$B,DCF!H:H)/_xlfn.XLOOKUP("Net Income",DCF!$B:$B,DCF!H:H),"")</f>
        <v>0.28488121797422905</v>
      </c>
      <c r="R57" s="344">
        <f ca="1">IFERROR(_xlfn.XLOOKUP("Operating Cash Flow",DCF!$B:$B,DCF!I:I)/_xlfn.XLOOKUP("Net Income",DCF!$B:$B,DCF!I:I),"")</f>
        <v>0.36269099358200668</v>
      </c>
    </row>
    <row r="58" spans="2:18" ht="15">
      <c r="B58" s="13" t="s">
        <v>238</v>
      </c>
      <c r="F58" s="342" t="str">
        <f>IFERROR(_xlfn.XLOOKUP("Net Capex",Inputs!$B:$B,Inputs!G:G,,,-1)/_xlfn.XLOOKUP("Operating Cash Flow",Inputs!$B:$B,Inputs!G:G),"")</f>
        <v/>
      </c>
      <c r="G58" s="342" t="str">
        <f>IFERROR(_xlfn.XLOOKUP("Net Capex",Inputs!$B:$B,Inputs!H:H,,,-1)/_xlfn.XLOOKUP("Operating Cash Flow",Inputs!$B:$B,Inputs!H:H),"")</f>
        <v/>
      </c>
      <c r="H58" s="342" t="str">
        <f>IFERROR(_xlfn.XLOOKUP("Net Capex",Inputs!$B:$B,Inputs!I:I,,,-1)/_xlfn.XLOOKUP("Operating Cash Flow",Inputs!$B:$B,Inputs!I:I),"")</f>
        <v/>
      </c>
      <c r="I58" s="342" t="str">
        <f>IFERROR(_xlfn.XLOOKUP("Net Capex",Inputs!$B:$B,Inputs!J:J,,,-1)/_xlfn.XLOOKUP("Operating Cash Flow",Inputs!$B:$B,Inputs!J:J),"")</f>
        <v/>
      </c>
      <c r="J58" s="342" t="str">
        <f>IFERROR(_xlfn.XLOOKUP("Net Capex",Inputs!$B:$B,Inputs!K:K,,,-1)/_xlfn.XLOOKUP("Operating Cash Flow",Inputs!$B:$B,Inputs!K:K),"")</f>
        <v/>
      </c>
      <c r="K58" s="342" t="str">
        <f>IFERROR(_xlfn.XLOOKUP("Net Capex",Inputs!$B:$B,Inputs!L:L,,,-1)/_xlfn.XLOOKUP("Operating Cash Flow",Inputs!$B:$B,Inputs!L:L),"")</f>
        <v/>
      </c>
      <c r="L58" s="342">
        <f>IFERROR(_xlfn.XLOOKUP("Net Capex",Inputs!$B:$B,Inputs!M:M,,,-1)/_xlfn.XLOOKUP("Operating Cash Flow",Inputs!$B:$B,Inputs!M:M),"")</f>
        <v>0.97243274756392106</v>
      </c>
      <c r="M58" s="342">
        <f>IFERROR(_xlfn.XLOOKUP("Net Capex",Inputs!$B:$B,Inputs!N:N,,,-1)/_xlfn.XLOOKUP("Operating Cash Flow",Inputs!$B:$B,Inputs!N:N),"")</f>
        <v>0.37773674492218412</v>
      </c>
      <c r="N58" s="342">
        <f>IFERROR(_xlfn.XLOOKUP("Net Capex",Inputs!$B:$B,Inputs!O:O,,,-1)/_xlfn.XLOOKUP("Operating Cash Flow",Inputs!$B:$B,Inputs!O:O),"")</f>
        <v>0.28108640207615554</v>
      </c>
      <c r="O58" s="342">
        <f>IFERROR(_xlfn.XLOOKUP("Net Capex",Inputs!$B:$B,Inputs!P:P,,,-1)/_xlfn.XLOOKUP("Operating Cash Flow",Inputs!$B:$B,Inputs!P:P),"")</f>
        <v>0.24804913019756125</v>
      </c>
      <c r="P58" s="343">
        <f>IFERROR(_xlfn.XLOOKUP("Net Capex",Inputs!$B:$B,Inputs!Q:Q,,,-1)/_xlfn.XLOOKUP("Operating Cash Flow",Inputs!$B:$B,Inputs!Q:Q),"")</f>
        <v>0.22301600068128272</v>
      </c>
      <c r="Q58" s="344">
        <f ca="1">IFERROR(_xlfn.XLOOKUP("Net Capex",DCF!$B:$B,DCF!H:H)/_xlfn.XLOOKUP("Operating Cash Flow",DCF!$B:$B,DCF!H:H),"")</f>
        <v>0.42977172011637643</v>
      </c>
      <c r="R58" s="344">
        <f ca="1">IFERROR(_xlfn.XLOOKUP("Net Capex",DCF!$B:$B,DCF!I:I)/_xlfn.XLOOKUP("Operating Cash Flow",DCF!$B:$B,DCF!I:I),"")</f>
        <v>0.40154922589262126</v>
      </c>
    </row>
    <row r="59" spans="2:18" ht="15">
      <c r="B59" s="849" t="s">
        <v>239</v>
      </c>
      <c r="F59" s="342" t="str">
        <f>IFERROR(_xlfn.XLOOKUP("Investing Cash Flow",Inputs!$B:$B,Inputs!G:G,,,-1)/_xlfn.XLOOKUP("Operating Cash Flow",Inputs!$B:$B,Inputs!G:G),"")</f>
        <v/>
      </c>
      <c r="G59" s="342" t="str">
        <f>IFERROR(_xlfn.XLOOKUP("Investing Cash Flow",Inputs!$B:$B,Inputs!H:H,,,-1)/_xlfn.XLOOKUP("Operating Cash Flow",Inputs!$B:$B,Inputs!H:H),"")</f>
        <v/>
      </c>
      <c r="H59" s="342" t="str">
        <f>IFERROR(_xlfn.XLOOKUP("Investing Cash Flow",Inputs!$B:$B,Inputs!I:I,,,-1)/_xlfn.XLOOKUP("Operating Cash Flow",Inputs!$B:$B,Inputs!I:I),"")</f>
        <v/>
      </c>
      <c r="I59" s="342" t="str">
        <f>IFERROR(_xlfn.XLOOKUP("Investing Cash Flow",Inputs!$B:$B,Inputs!J:J,,,-1)/_xlfn.XLOOKUP("Operating Cash Flow",Inputs!$B:$B,Inputs!J:J),"")</f>
        <v/>
      </c>
      <c r="J59" s="342" t="str">
        <f>IFERROR(_xlfn.XLOOKUP("Investing Cash Flow",Inputs!$B:$B,Inputs!K:K,,,-1)/_xlfn.XLOOKUP("Operating Cash Flow",Inputs!$B:$B,Inputs!K:K),"")</f>
        <v/>
      </c>
      <c r="K59" s="342" t="str">
        <f>IFERROR(_xlfn.XLOOKUP("Investing Cash Flow",Inputs!$B:$B,Inputs!L:L,,,-1)/_xlfn.XLOOKUP("Operating Cash Flow",Inputs!$B:$B,Inputs!L:L),"")</f>
        <v/>
      </c>
      <c r="L59" s="342">
        <f>IFERROR(_xlfn.XLOOKUP("Investing Cash Flow",Inputs!$B:$B,Inputs!M:M,,,-1)/_xlfn.XLOOKUP("Operating Cash Flow",Inputs!$B:$B,Inputs!M:M),"")</f>
        <v>0.97243274756392106</v>
      </c>
      <c r="M59" s="342">
        <f>IFERROR(_xlfn.XLOOKUP("Investing Cash Flow",Inputs!$B:$B,Inputs!N:N,,,-1)/_xlfn.XLOOKUP("Operating Cash Flow",Inputs!$B:$B,Inputs!N:N),"")</f>
        <v>8.0561103365112867</v>
      </c>
      <c r="N59" s="342">
        <f>IFERROR(_xlfn.XLOOKUP("Investing Cash Flow",Inputs!$B:$B,Inputs!O:O,,,-1)/_xlfn.XLOOKUP("Operating Cash Flow",Inputs!$B:$B,Inputs!O:O),"")</f>
        <v>6.9143138395453931</v>
      </c>
      <c r="O59" s="342">
        <f>IFERROR(_xlfn.XLOOKUP("Investing Cash Flow",Inputs!$B:$B,Inputs!P:P,,,-1)/_xlfn.XLOOKUP("Operating Cash Flow",Inputs!$B:$B,Inputs!P:P),"")</f>
        <v>-0.8725431729073353</v>
      </c>
      <c r="P59" s="343">
        <f>IFERROR(_xlfn.XLOOKUP("Investing Cash Flow",Inputs!$B:$B,Inputs!Q:Q,,,-1)/_xlfn.XLOOKUP("Operating Cash Flow",Inputs!$B:$B,Inputs!Q:Q),"")</f>
        <v>-0.78281275134127537</v>
      </c>
      <c r="Q59" s="344">
        <f ca="1">IFERROR(_xlfn.XLOOKUP("Investing Cash Flow",DCF!$B:$B,DCF!H:H)/_xlfn.XLOOKUP("Operating Cash Flow",DCF!$B:$B,DCF!H:H),"")</f>
        <v>5.6340408780013735</v>
      </c>
      <c r="R59" s="344">
        <f ca="1">IFERROR(_xlfn.XLOOKUP("Investing Cash Flow",DCF!$B:$B,DCF!I:I)/_xlfn.XLOOKUP("Operating Cash Flow",DCF!$B:$B,DCF!I:I),"")</f>
        <v>2.7087266511332624</v>
      </c>
    </row>
    <row r="60" spans="2:18" ht="15">
      <c r="B60" s="13" t="s">
        <v>240</v>
      </c>
      <c r="F60" s="342" t="str">
        <f>IFERROR((_xlfn.XLOOKUP("Debt Borrowing",Inputs!$B:$B,Inputs!G:G,,,-1)-_xlfn.XLOOKUP("Debt Repayment",Inputs!$B:$B,Inputs!G:G))/_xlfn.XLOOKUP("Operating Cash Flow",Inputs!$B:$B,Inputs!G:G),"")</f>
        <v/>
      </c>
      <c r="G60" s="342" t="str">
        <f>IFERROR((_xlfn.XLOOKUP("Debt Borrowing",Inputs!$B:$B,Inputs!H:H,,,-1)-_xlfn.XLOOKUP("Debt Repayment",Inputs!$B:$B,Inputs!H:H))/_xlfn.XLOOKUP("Operating Cash Flow",Inputs!$B:$B,Inputs!H:H),"")</f>
        <v/>
      </c>
      <c r="H60" s="342" t="str">
        <f>IFERROR((_xlfn.XLOOKUP("Debt Borrowing",Inputs!$B:$B,Inputs!I:I,,,-1)-_xlfn.XLOOKUP("Debt Repayment",Inputs!$B:$B,Inputs!I:I))/_xlfn.XLOOKUP("Operating Cash Flow",Inputs!$B:$B,Inputs!I:I),"")</f>
        <v/>
      </c>
      <c r="I60" s="342" t="str">
        <f>IFERROR((_xlfn.XLOOKUP("Debt Borrowing",Inputs!$B:$B,Inputs!J:J,,,-1)-_xlfn.XLOOKUP("Debt Repayment",Inputs!$B:$B,Inputs!J:J))/_xlfn.XLOOKUP("Operating Cash Flow",Inputs!$B:$B,Inputs!J:J),"")</f>
        <v/>
      </c>
      <c r="J60" s="342" t="str">
        <f>IFERROR((_xlfn.XLOOKUP("Debt Borrowing",Inputs!$B:$B,Inputs!K:K,,,-1)-_xlfn.XLOOKUP("Debt Repayment",Inputs!$B:$B,Inputs!K:K))/_xlfn.XLOOKUP("Operating Cash Flow",Inputs!$B:$B,Inputs!K:K),"")</f>
        <v/>
      </c>
      <c r="K60" s="342" t="str">
        <f>IFERROR((_xlfn.XLOOKUP("Debt Borrowing",Inputs!$B:$B,Inputs!L:L,,,-1)-_xlfn.XLOOKUP("Debt Repayment",Inputs!$B:$B,Inputs!L:L))/_xlfn.XLOOKUP("Operating Cash Flow",Inputs!$B:$B,Inputs!L:L),"")</f>
        <v/>
      </c>
      <c r="L60" s="342">
        <f>IFERROR((_xlfn.XLOOKUP("Debt Borrowing",Inputs!$B:$B,Inputs!M:M,,,-1)-_xlfn.XLOOKUP("Debt Repayment",Inputs!$B:$B,Inputs!M:M))/_xlfn.XLOOKUP("Operating Cash Flow",Inputs!$B:$B,Inputs!M:M),"")</f>
        <v>0</v>
      </c>
      <c r="M60" s="342">
        <f>IFERROR((_xlfn.XLOOKUP("Debt Borrowing",Inputs!$B:$B,Inputs!N:N,,,-1)-_xlfn.XLOOKUP("Debt Repayment",Inputs!$B:$B,Inputs!N:N))/_xlfn.XLOOKUP("Operating Cash Flow",Inputs!$B:$B,Inputs!N:N),"")</f>
        <v>0</v>
      </c>
      <c r="N60" s="342">
        <f>IFERROR((_xlfn.XLOOKUP("Debt Borrowing",Inputs!$B:$B,Inputs!O:O,,,-1)-_xlfn.XLOOKUP("Debt Repayment",Inputs!$B:$B,Inputs!O:O))/_xlfn.XLOOKUP("Operating Cash Flow",Inputs!$B:$B,Inputs!O:O),"")</f>
        <v>0</v>
      </c>
      <c r="O60" s="342">
        <f>IFERROR((_xlfn.XLOOKUP("Debt Borrowing",Inputs!$B:$B,Inputs!P:P,,,-1)-_xlfn.XLOOKUP("Debt Repayment",Inputs!$B:$B,Inputs!P:P))/_xlfn.XLOOKUP("Operating Cash Flow",Inputs!$B:$B,Inputs!P:P),"")</f>
        <v>0</v>
      </c>
      <c r="P60" s="343">
        <f>IFERROR((_xlfn.XLOOKUP("Debt Borrowing",Inputs!$B:$B,Inputs!Q:Q,,,-1)-_xlfn.XLOOKUP("Debt Repayment",Inputs!$B:$B,Inputs!Q:Q))/_xlfn.XLOOKUP("Operating Cash Flow",Inputs!$B:$B,Inputs!Q:Q),"")</f>
        <v>0</v>
      </c>
      <c r="Q60" s="344">
        <f ca="1">IFERROR((_xlfn.XLOOKUP("Debt Borrowing",DCF!$B:$B,DCF!H:H)-_xlfn.XLOOKUP("Debt Repayment",DCF!$B:$B,DCF!H:H))/_xlfn.XLOOKUP("Operating Cash Flow",DCF!$B:$B,DCF!H:H),"")</f>
        <v>-3.0604143044066996</v>
      </c>
      <c r="R60" s="344">
        <f ca="1">IFERROR((_xlfn.XLOOKUP("Debt Borrowing",DCF!$B:$B,DCF!I:I)-_xlfn.XLOOKUP("Debt Repayment",DCF!$B:$B,DCF!I:I))/_xlfn.XLOOKUP("Operating Cash Flow",DCF!$B:$B,DCF!I:I),"")</f>
        <v>0</v>
      </c>
    </row>
    <row r="61" spans="2:18" ht="15">
      <c r="B61" s="13" t="s">
        <v>549</v>
      </c>
      <c r="F61" s="342" t="str">
        <f>IFERROR(-_xlfn.XLOOKUP("Debt Repayment",Inputs!$B:$B,Inputs!G:G,,,-1)/_xlfn.XLOOKUP("Debt Borrowing",Inputs!$B:$B,Inputs!G:G),"")</f>
        <v/>
      </c>
      <c r="G61" s="342" t="str">
        <f>IFERROR(-_xlfn.XLOOKUP("Debt Repayment",Inputs!$B:$B,Inputs!H:H,,,-1)/_xlfn.XLOOKUP("Debt Borrowing",Inputs!$B:$B,Inputs!H:H),"")</f>
        <v/>
      </c>
      <c r="H61" s="342" t="str">
        <f>IFERROR(-_xlfn.XLOOKUP("Debt Repayment",Inputs!$B:$B,Inputs!I:I,,,-1)/_xlfn.XLOOKUP("Debt Borrowing",Inputs!$B:$B,Inputs!I:I),"")</f>
        <v/>
      </c>
      <c r="I61" s="342" t="str">
        <f>IFERROR(-_xlfn.XLOOKUP("Debt Repayment",Inputs!$B:$B,Inputs!J:J,,,-1)/_xlfn.XLOOKUP("Debt Borrowing",Inputs!$B:$B,Inputs!J:J),"")</f>
        <v/>
      </c>
      <c r="J61" s="342" t="str">
        <f>IFERROR(-_xlfn.XLOOKUP("Debt Repayment",Inputs!$B:$B,Inputs!K:K,,,-1)/_xlfn.XLOOKUP("Debt Borrowing",Inputs!$B:$B,Inputs!K:K),"")</f>
        <v/>
      </c>
      <c r="K61" s="342" t="str">
        <f>IFERROR(-_xlfn.XLOOKUP("Debt Repayment",Inputs!$B:$B,Inputs!L:L,,,-1)/_xlfn.XLOOKUP("Debt Borrowing",Inputs!$B:$B,Inputs!L:L),"")</f>
        <v/>
      </c>
      <c r="L61" s="342" t="str">
        <f>IFERROR(-_xlfn.XLOOKUP("Debt Repayment",Inputs!$B:$B,Inputs!M:M,,,-1)/_xlfn.XLOOKUP("Debt Borrowing",Inputs!$B:$B,Inputs!M:M),"")</f>
        <v/>
      </c>
      <c r="M61" s="342" t="str">
        <f>IFERROR(-_xlfn.XLOOKUP("Debt Repayment",Inputs!$B:$B,Inputs!N:N,,,-1)/_xlfn.XLOOKUP("Debt Borrowing",Inputs!$B:$B,Inputs!N:N),"")</f>
        <v/>
      </c>
      <c r="N61" s="342" t="str">
        <f>IFERROR(-_xlfn.XLOOKUP("Debt Repayment",Inputs!$B:$B,Inputs!O:O,,,-1)/_xlfn.XLOOKUP("Debt Borrowing",Inputs!$B:$B,Inputs!O:O),"")</f>
        <v/>
      </c>
      <c r="O61" s="342" t="str">
        <f>IFERROR(-_xlfn.XLOOKUP("Debt Repayment",Inputs!$B:$B,Inputs!P:P,,,-1)/_xlfn.XLOOKUP("Debt Borrowing",Inputs!$B:$B,Inputs!P:P),"")</f>
        <v/>
      </c>
      <c r="P61" s="343" t="str">
        <f>IFERROR(-_xlfn.XLOOKUP("Debt Repayment",Inputs!$B:$B,Inputs!Q:Q,,,-1)/_xlfn.XLOOKUP("Debt Borrowing",Inputs!$B:$B,Inputs!Q:Q),"")</f>
        <v/>
      </c>
      <c r="Q61" s="344">
        <f ca="1">IFERROR(-_xlfn.XLOOKUP("Debt Repayment",DCF!$B:$B,DCF!H:H)/_xlfn.XLOOKUP("Debt Borrowing",DCF!$B:$B,DCF!H:H),"")</f>
        <v>0</v>
      </c>
      <c r="R61" s="344" t="str">
        <f ca="1">IFERROR(-_xlfn.XLOOKUP("Debt Repayment",DCF!$B:$B,DCF!I:I)/_xlfn.XLOOKUP("Debt Borrowing",DCF!$B:$B,DCF!I:I),"")</f>
        <v/>
      </c>
    </row>
    <row r="62" spans="2:18" ht="15">
      <c r="B62" s="13" t="s">
        <v>242</v>
      </c>
      <c r="F62" s="342" t="str">
        <f>IFERROR(_xlfn.XLOOKUP("Financing Cash Flow",Inputs!$B:$B,Inputs!G:G,,,-1)/_xlfn.XLOOKUP("Operating Cash Flow",Inputs!$B:$B,Inputs!G:G),"")</f>
        <v/>
      </c>
      <c r="G62" s="342" t="str">
        <f>IFERROR(_xlfn.XLOOKUP("Financing Cash Flow",Inputs!$B:$B,Inputs!H:H,,,-1)/_xlfn.XLOOKUP("Operating Cash Flow",Inputs!$B:$B,Inputs!H:H),"")</f>
        <v/>
      </c>
      <c r="H62" s="342" t="str">
        <f>IFERROR(_xlfn.XLOOKUP("Financing Cash Flow",Inputs!$B:$B,Inputs!I:I,,,-1)/_xlfn.XLOOKUP("Operating Cash Flow",Inputs!$B:$B,Inputs!I:I),"")</f>
        <v/>
      </c>
      <c r="I62" s="342" t="str">
        <f>IFERROR(_xlfn.XLOOKUP("Financing Cash Flow",Inputs!$B:$B,Inputs!J:J,,,-1)/_xlfn.XLOOKUP("Operating Cash Flow",Inputs!$B:$B,Inputs!J:J),"")</f>
        <v/>
      </c>
      <c r="J62" s="342" t="str">
        <f>IFERROR(_xlfn.XLOOKUP("Financing Cash Flow",Inputs!$B:$B,Inputs!K:K,,,-1)/_xlfn.XLOOKUP("Operating Cash Flow",Inputs!$B:$B,Inputs!K:K),"")</f>
        <v/>
      </c>
      <c r="K62" s="342" t="str">
        <f>IFERROR(_xlfn.XLOOKUP("Financing Cash Flow",Inputs!$B:$B,Inputs!L:L,,,-1)/_xlfn.XLOOKUP("Operating Cash Flow",Inputs!$B:$B,Inputs!L:L),"")</f>
        <v/>
      </c>
      <c r="L62" s="342">
        <f>IFERROR(_xlfn.XLOOKUP("Financing Cash Flow",Inputs!$B:$B,Inputs!M:M,,,-1)/_xlfn.XLOOKUP("Operating Cash Flow",Inputs!$B:$B,Inputs!M:M),"")</f>
        <v>-2.298659115515949E-2</v>
      </c>
      <c r="M62" s="342">
        <f>IFERROR(_xlfn.XLOOKUP("Financing Cash Flow",Inputs!$B:$B,Inputs!N:N,,,-1)/_xlfn.XLOOKUP("Operating Cash Flow",Inputs!$B:$B,Inputs!N:N),"")</f>
        <v>-22.731544635791536</v>
      </c>
      <c r="N62" s="342">
        <f>IFERROR(_xlfn.XLOOKUP("Financing Cash Flow",Inputs!$B:$B,Inputs!O:O,,,-1)/_xlfn.XLOOKUP("Operating Cash Flow",Inputs!$B:$B,Inputs!O:O),"")</f>
        <v>-2.4520112756722896E-2</v>
      </c>
      <c r="O62" s="342">
        <f>IFERROR(_xlfn.XLOOKUP("Financing Cash Flow",Inputs!$B:$B,Inputs!P:P,,,-1)/_xlfn.XLOOKUP("Operating Cash Flow",Inputs!$B:$B,Inputs!P:P),"")</f>
        <v>-2.2344596566469147E-2</v>
      </c>
      <c r="P62" s="343">
        <f>IFERROR(_xlfn.XLOOKUP("Financing Cash Flow",Inputs!$B:$B,Inputs!Q:Q,,,-1)/_xlfn.XLOOKUP("Operating Cash Flow",Inputs!$B:$B,Inputs!Q:Q),"")</f>
        <v>-0.39445322331879301</v>
      </c>
      <c r="Q62" s="344">
        <f ca="1">IFERROR(_xlfn.XLOOKUP("Financing Cash Flow",DCF!$B:$B,DCF!H:H)/_xlfn.XLOOKUP("Operating Cash Flow",DCF!$B:$B,DCF!H:H),"")</f>
        <v>-3.0740239583950157</v>
      </c>
      <c r="R62" s="344">
        <f ca="1">IFERROR(_xlfn.XLOOKUP("Financing Cash Flow",DCF!$B:$B,DCF!I:I)/_xlfn.XLOOKUP("Operating Cash Flow",DCF!$B:$B,DCF!I:I),"")</f>
        <v>-4.4134398817046666E-3</v>
      </c>
    </row>
    <row r="63" spans="2:18" ht="15">
      <c r="B63" s="13" t="s">
        <v>67</v>
      </c>
      <c r="F63" s="342" t="str">
        <f>IFERROR(_xlfn.XLOOKUP("Net Income",Inputs!$B:$B,Inputs!G:G,,,-1)/_xlfn.XLOOKUP("Operating Cash Flow",Inputs!$B:$B,Inputs!G:G),"")</f>
        <v/>
      </c>
      <c r="G63" s="342" t="str">
        <f>IFERROR(_xlfn.XLOOKUP("Net Income",Inputs!$B:$B,Inputs!H:H,,,-1)/_xlfn.XLOOKUP("Operating Cash Flow",Inputs!$B:$B,Inputs!H:H),"")</f>
        <v/>
      </c>
      <c r="H63" s="342" t="str">
        <f>IFERROR(_xlfn.XLOOKUP("Net Income",Inputs!$B:$B,Inputs!I:I,,,-1)/_xlfn.XLOOKUP("Operating Cash Flow",Inputs!$B:$B,Inputs!I:I),"")</f>
        <v/>
      </c>
      <c r="I63" s="342" t="str">
        <f>IFERROR(_xlfn.XLOOKUP("Net Income",Inputs!$B:$B,Inputs!J:J,,,-1)/_xlfn.XLOOKUP("Operating Cash Flow",Inputs!$B:$B,Inputs!J:J),"")</f>
        <v/>
      </c>
      <c r="J63" s="342" t="str">
        <f>IFERROR(_xlfn.XLOOKUP("Net Income",Inputs!$B:$B,Inputs!K:K,,,-1)/_xlfn.XLOOKUP("Operating Cash Flow",Inputs!$B:$B,Inputs!K:K),"")</f>
        <v/>
      </c>
      <c r="K63" s="342" t="str">
        <f>IFERROR(_xlfn.XLOOKUP("Net Income",Inputs!$B:$B,Inputs!L:L,,,-1)/_xlfn.XLOOKUP("Operating Cash Flow",Inputs!$B:$B,Inputs!L:L),"")</f>
        <v/>
      </c>
      <c r="L63" s="342">
        <f>IFERROR(_xlfn.XLOOKUP("Net Income",Inputs!$B:$B,Inputs!M:M,,,-1)/_xlfn.XLOOKUP("Operating Cash Flow",Inputs!$B:$B,Inputs!M:M),"")</f>
        <v>1.2845839926709419</v>
      </c>
      <c r="M63" s="342">
        <f>IFERROR(_xlfn.XLOOKUP("Net Income",Inputs!$B:$B,Inputs!N:N,,,-1)/_xlfn.XLOOKUP("Operating Cash Flow",Inputs!$B:$B,Inputs!N:N),"")</f>
        <v>4.001431962919697</v>
      </c>
      <c r="N63" s="342">
        <f>IFERROR(_xlfn.XLOOKUP("Net Income",Inputs!$B:$B,Inputs!O:O,,,-1)/_xlfn.XLOOKUP("Operating Cash Flow",Inputs!$B:$B,Inputs!O:O),"")</f>
        <v>1.0853058302384895</v>
      </c>
      <c r="O63" s="342">
        <f>IFERROR(_xlfn.XLOOKUP("Net Income",Inputs!$B:$B,Inputs!P:P,,,-1)/_xlfn.XLOOKUP("Operating Cash Flow",Inputs!$B:$B,Inputs!P:P),"")</f>
        <v>2.0012821560442071</v>
      </c>
      <c r="P63" s="343">
        <f>IFERROR(_xlfn.XLOOKUP("Net Income",Inputs!$B:$B,Inputs!Q:Q,,,-1)/_xlfn.XLOOKUP("Operating Cash Flow",Inputs!$B:$B,Inputs!Q:Q),"")</f>
        <v>3.137572353169384</v>
      </c>
      <c r="Q63" s="344">
        <f ca="1">IFERROR(_xlfn.XLOOKUP("Net Income",DCF!$B:$B,DCF!H:H)/_xlfn.XLOOKUP("Operating Cash Flow",DCF!$B:$B,DCF!H:H),"")</f>
        <v>3.5102349221578453</v>
      </c>
      <c r="R63" s="344">
        <f ca="1">IFERROR(_xlfn.XLOOKUP("Net Income",DCF!$B:$B,DCF!I:I)/_xlfn.XLOOKUP("Operating Cash Flow",DCF!$B:$B,DCF!I:I),"")</f>
        <v>2.7571679961606042</v>
      </c>
    </row>
    <row r="64" spans="2:18" ht="15">
      <c r="B64" s="25" t="s">
        <v>69</v>
      </c>
      <c r="F64" s="342" t="str">
        <f>IFERROR(_xlfn.XLOOKUP("Net Changes in Cash",Inputs!$B:$B,Inputs!G:G,,,-1)/_xlfn.XLOOKUP("Operating Cash Flow",Inputs!$B:$B,Inputs!G:G),"")</f>
        <v/>
      </c>
      <c r="G64" s="342" t="str">
        <f>IFERROR(_xlfn.XLOOKUP("Net Changes in Cash",Inputs!$B:$B,Inputs!H:H,,,-1)/_xlfn.XLOOKUP("Operating Cash Flow",Inputs!$B:$B,Inputs!H:H),"")</f>
        <v/>
      </c>
      <c r="H64" s="342" t="str">
        <f>IFERROR(_xlfn.XLOOKUP("Net Changes in Cash",Inputs!$B:$B,Inputs!I:I,,,-1)/_xlfn.XLOOKUP("Operating Cash Flow",Inputs!$B:$B,Inputs!I:I),"")</f>
        <v/>
      </c>
      <c r="I64" s="342" t="str">
        <f>IFERROR(_xlfn.XLOOKUP("Net Changes in Cash",Inputs!$B:$B,Inputs!J:J,,,-1)/_xlfn.XLOOKUP("Operating Cash Flow",Inputs!$B:$B,Inputs!J:J),"")</f>
        <v/>
      </c>
      <c r="J64" s="342" t="str">
        <f>IFERROR(_xlfn.XLOOKUP("Net Changes in Cash",Inputs!$B:$B,Inputs!K:K,,,-1)/_xlfn.XLOOKUP("Operating Cash Flow",Inputs!$B:$B,Inputs!K:K),"")</f>
        <v/>
      </c>
      <c r="K64" s="342" t="str">
        <f>IFERROR(_xlfn.XLOOKUP("Net Changes in Cash",Inputs!$B:$B,Inputs!L:L,,,-1)/_xlfn.XLOOKUP("Operating Cash Flow",Inputs!$B:$B,Inputs!L:L),"")</f>
        <v/>
      </c>
      <c r="L64" s="342">
        <f>IFERROR(_xlfn.XLOOKUP("Net Changes in Cash",Inputs!$B:$B,Inputs!M:M,,,-1)/_xlfn.XLOOKUP("Operating Cash Flow",Inputs!$B:$B,Inputs!M:M),"")</f>
        <v>1.9494461564087615</v>
      </c>
      <c r="M64" s="342">
        <f>IFERROR(_xlfn.XLOOKUP("Net Changes in Cash",Inputs!$B:$B,Inputs!N:N,,,-1)/_xlfn.XLOOKUP("Operating Cash Flow",Inputs!$B:$B,Inputs!N:N),"")</f>
        <v>-13.67543429928025</v>
      </c>
      <c r="N64" s="342">
        <f>IFERROR(_xlfn.XLOOKUP("Net Changes in Cash",Inputs!$B:$B,Inputs!O:O,,,-1)/_xlfn.XLOOKUP("Operating Cash Flow",Inputs!$B:$B,Inputs!O:O),"")</f>
        <v>7.8897937267886702</v>
      </c>
      <c r="O64" s="342">
        <f>IFERROR(_xlfn.XLOOKUP("Net Changes in Cash",Inputs!$B:$B,Inputs!P:P,,,-1)/_xlfn.XLOOKUP("Operating Cash Flow",Inputs!$B:$B,Inputs!P:P),"")</f>
        <v>0.10513760769435739</v>
      </c>
      <c r="P64" s="343">
        <f>IFERROR(_xlfn.XLOOKUP("Net Changes in Cash",Inputs!$B:$B,Inputs!Q:Q,,,-1)/_xlfn.XLOOKUP("Operating Cash Flow",Inputs!$B:$B,Inputs!Q:Q),"")</f>
        <v>-0.17750253115449033</v>
      </c>
      <c r="Q64" s="344">
        <f ca="1">IFERROR(_xlfn.XLOOKUP("Net Changes in Cash",DCF!$B:$B,DCF!H:H)/_xlfn.XLOOKUP("Operating Cash Flow",DCF!$B:$B,DCF!H:H),"")</f>
        <v>3.5600169196063582</v>
      </c>
      <c r="R64" s="344">
        <f ca="1">IFERROR(_xlfn.XLOOKUP("Net Changes in Cash",DCF!$B:$B,DCF!I:I)/_xlfn.XLOOKUP("Operating Cash Flow",DCF!$B:$B,DCF!I:I),"")</f>
        <v>3.704313211251558</v>
      </c>
    </row>
    <row r="67" spans="2:20" ht="20.100000000000001" customHeight="1">
      <c r="T67" s="1" t="s">
        <v>469</v>
      </c>
    </row>
    <row r="69" spans="2:20">
      <c r="B69" s="373"/>
    </row>
    <row r="70" spans="2:20">
      <c r="B70" s="373"/>
    </row>
    <row r="71" spans="2:20">
      <c r="B71" s="373"/>
    </row>
    <row r="72" spans="2:20">
      <c r="B72" s="373"/>
    </row>
    <row r="73" spans="2:20">
      <c r="B73" s="373"/>
    </row>
    <row r="74" spans="2:20">
      <c r="B74" s="373"/>
    </row>
    <row r="75" spans="2:20">
      <c r="B75" s="373"/>
    </row>
    <row r="76" spans="2:20">
      <c r="B76" s="373"/>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A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 displayEmptyCellsAs="gap" xr2:uid="{00000000-0003-0000-0A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A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A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A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A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A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A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A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A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A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A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A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A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A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A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A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A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A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A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A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A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A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A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A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A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A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A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A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A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A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A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A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A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A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A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A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A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A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A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A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A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B2:L10055"/>
  <sheetViews>
    <sheetView showGridLines="0" zoomScale="91" zoomScaleNormal="70" workbookViewId="0">
      <selection activeCell="K17" sqref="K17"/>
    </sheetView>
  </sheetViews>
  <sheetFormatPr defaultColWidth="8.875" defaultRowHeight="14.25"/>
  <cols>
    <col min="1" max="1" width="4" customWidth="1"/>
    <col min="3" max="7" width="8.625" customWidth="1"/>
    <col min="10" max="10" width="15.5" customWidth="1"/>
    <col min="11" max="11" width="10.375" customWidth="1"/>
  </cols>
  <sheetData>
    <row r="2" spans="2:12" s="29" customFormat="1" ht="20.100000000000001" customHeight="1">
      <c r="B2" s="32" t="s">
        <v>550</v>
      </c>
    </row>
    <row r="4" spans="2:12" ht="15">
      <c r="B4" s="610" t="str">
        <f ca="1">IFERROR(Peers!C6&amp;" Fair Value - Blended Discount Rate and Terminal Growth Rate","")</f>
        <v>IONQ Fair Value - Blended Discount Rate and Terminal Growth Rate</v>
      </c>
      <c r="J4" s="610" t="str">
        <f ca="1">IFERROR(Peers!C6&amp;" Fair Value - Monte-Carlo Simulations Discount Rate and Terminal Growth Rate","")</f>
        <v>IONQ Fair Value - Monte-Carlo Simulations Discount Rate and Terminal Growth Rate</v>
      </c>
    </row>
    <row r="5" spans="2:12" ht="15.75" thickBot="1">
      <c r="B5" t="s">
        <v>470</v>
      </c>
      <c r="F5" s="77" t="s">
        <v>364</v>
      </c>
    </row>
    <row r="6" spans="2:12" ht="15.75" thickBot="1">
      <c r="B6" s="602"/>
      <c r="C6" s="607"/>
      <c r="D6" s="613">
        <f>DCF!AY287</f>
        <v>0.1323</v>
      </c>
      <c r="E6" s="613">
        <f>DCF!AZ287</f>
        <v>0.1273</v>
      </c>
      <c r="F6" s="613">
        <f>DCF!BA287</f>
        <v>0.12230000000000001</v>
      </c>
      <c r="G6" s="613">
        <f>DCF!BB287</f>
        <v>0.1173</v>
      </c>
      <c r="H6" s="613">
        <f>DCF!BC287</f>
        <v>0.1123</v>
      </c>
      <c r="J6" s="699" t="s">
        <v>551</v>
      </c>
      <c r="K6" s="699" t="s">
        <v>196</v>
      </c>
      <c r="L6" s="699" t="s">
        <v>552</v>
      </c>
    </row>
    <row r="7" spans="2:12">
      <c r="C7" s="605">
        <f>DCF!AX288</f>
        <v>0.01</v>
      </c>
      <c r="D7" s="690">
        <f ca="1">IFERROR(DCF!AY288/DCF!$Z$212-1,"")</f>
        <v>-0.79562705280924184</v>
      </c>
      <c r="E7" s="690">
        <f ca="1">IFERROR(DCF!AZ288/DCF!$Z$212-1,"")</f>
        <v>-0.76502459600344441</v>
      </c>
      <c r="F7" s="690">
        <f ca="1">IFERROR(DCF!BA288/DCF!$Z$212-1,"")</f>
        <v>-0.73001030552403001</v>
      </c>
      <c r="G7" s="690">
        <f ca="1">IFERROR(DCF!BB288/DCF!$Z$212-1,"")</f>
        <v>-0.68983078872810677</v>
      </c>
      <c r="H7" s="690">
        <f ca="1">IFERROR(DCF!BC288/DCF!$Z$212-1,"")</f>
        <v>-0.64357334636171415</v>
      </c>
      <c r="J7" t="s">
        <v>364</v>
      </c>
      <c r="K7" s="12">
        <v>0.12230000000000001</v>
      </c>
      <c r="L7" s="12">
        <v>0.01</v>
      </c>
    </row>
    <row r="8" spans="2:12">
      <c r="C8" s="605">
        <f>DCF!AX289</f>
        <v>1.4999999999999999E-2</v>
      </c>
      <c r="D8" s="690">
        <f ca="1">IFERROR(DCF!AY289/DCF!$Z$212-1,"")</f>
        <v>-0.78604560426705505</v>
      </c>
      <c r="E8" s="690">
        <f ca="1">IFERROR(DCF!AZ289/DCF!$Z$212-1,"")</f>
        <v>-0.75376707289487088</v>
      </c>
      <c r="F8" s="690">
        <f ca="1">IFERROR(DCF!BA289/DCF!$Z$212-1,"")</f>
        <v>-0.71672863661951136</v>
      </c>
      <c r="G8" s="690">
        <f ca="1">IFERROR(DCF!BB289/DCF!$Z$212-1,"")</f>
        <v>-0.67409037546067974</v>
      </c>
      <c r="H8" s="690">
        <f ca="1">IFERROR(DCF!BC289/DCF!$Z$212-1,"")</f>
        <v>-0.62482721986797074</v>
      </c>
      <c r="J8" t="s">
        <v>191</v>
      </c>
      <c r="K8" s="12">
        <f>+DCF!I7</f>
        <v>0</v>
      </c>
      <c r="L8" s="24">
        <f>+DCF!L7</f>
        <v>0.02</v>
      </c>
    </row>
    <row r="9" spans="2:12" ht="15.75" thickBot="1">
      <c r="B9" s="16" t="s">
        <v>366</v>
      </c>
      <c r="C9" s="605">
        <f>DCF!AX290</f>
        <v>0.02</v>
      </c>
      <c r="D9" s="690">
        <f ca="1">IFERROR(DCF!AY290/DCF!$Z$212-1,"")</f>
        <v>-0.77561095460802154</v>
      </c>
      <c r="E9" s="690">
        <f ca="1">IFERROR(DCF!AZ290/DCF!$Z$212-1,"")</f>
        <v>-0.74146038640246004</v>
      </c>
      <c r="F9" s="690">
        <f ca="1">IFERROR(DCF!BA290/DCF!$Z$212-1,"")</f>
        <v>-0.70214866185922364</v>
      </c>
      <c r="G9" s="690">
        <f ca="1">IFERROR(DCF!BB290/DCF!$Z$212-1,"")</f>
        <v>-0.65673224243298267</v>
      </c>
      <c r="H9" s="690">
        <f ca="1">IFERROR(DCF!BC290/DCF!$Z$212-1,"")</f>
        <v>-0.60405009375410346</v>
      </c>
      <c r="J9" s="602" t="s">
        <v>26</v>
      </c>
      <c r="K9" s="613">
        <f>+DCF!I8</f>
        <v>0</v>
      </c>
      <c r="L9" s="613">
        <f>+DCF!L8</f>
        <v>0.01</v>
      </c>
    </row>
    <row r="10" spans="2:12" ht="15" thickBot="1">
      <c r="C10" s="605">
        <f>DCF!AX291</f>
        <v>2.5000000000000001E-2</v>
      </c>
      <c r="D10" s="690">
        <f ca="1">IFERROR(DCF!AY291/DCF!$Z$212-1,"")</f>
        <v>-0.76420383060984254</v>
      </c>
      <c r="E10" s="690">
        <f ca="1">IFERROR(DCF!AZ291/DCF!$Z$212-1,"")</f>
        <v>-0.72795070025292197</v>
      </c>
      <c r="F10" s="690">
        <f ca="1">IFERROR(DCF!BA291/DCF!$Z$212-1,"")</f>
        <v>-0.68607023131678901</v>
      </c>
      <c r="G10" s="690">
        <f ca="1">IFERROR(DCF!BB291/DCF!$Z$212-1,"")</f>
        <v>-0.6374934882755241</v>
      </c>
      <c r="H10" s="690">
        <f ca="1">IFERROR(DCF!BC291/DCF!$Z$212-1,"")</f>
        <v>-0.58089299901321823</v>
      </c>
      <c r="L10" s="700"/>
    </row>
    <row r="11" spans="2:12" ht="15.75" thickBot="1">
      <c r="B11" s="602"/>
      <c r="C11" s="606">
        <f>DCF!AX292</f>
        <v>0.03</v>
      </c>
      <c r="D11" s="691">
        <f ca="1">IFERROR(DCF!AY292/DCF!$Z$212-1,"")</f>
        <v>-0.75168164072718835</v>
      </c>
      <c r="E11" s="691">
        <f ca="1">IFERROR(DCF!AZ292/DCF!$Z$212-1,"")</f>
        <v>-0.71305255715070792</v>
      </c>
      <c r="F11" s="691">
        <f ca="1">IFERROR(DCF!BA292/DCF!$Z$212-1,"")</f>
        <v>-0.668249825634329</v>
      </c>
      <c r="G11" s="691">
        <f ca="1">IFERROR(DCF!BB292/DCF!$Z$212-1,"")</f>
        <v>-0.61605098220999488</v>
      </c>
      <c r="H11" s="691">
        <f ca="1">IFERROR(DCF!BC292/DCF!$Z$212-1,"")</f>
        <v>-0.55492216250551829</v>
      </c>
      <c r="J11" s="699" t="s">
        <v>553</v>
      </c>
      <c r="K11" s="601"/>
      <c r="L11" s="601" t="s">
        <v>554</v>
      </c>
    </row>
    <row r="12" spans="2:12">
      <c r="J12" s="609" t="s">
        <v>555</v>
      </c>
      <c r="K12" s="698">
        <f>MIN(B56:B10055)</f>
        <v>0</v>
      </c>
      <c r="L12" s="53">
        <f ca="1">IFERROR(K12/DCF!$Z$212-1,"")</f>
        <v>-1</v>
      </c>
    </row>
    <row r="13" spans="2:12" ht="15">
      <c r="B13" s="610" t="str">
        <f ca="1">IFERROR(Peers!C6&amp;" Fair Value - Blended Revenue Growth and Operating Margin","")</f>
        <v>IONQ Fair Value - Blended Revenue Growth and Operating Margin</v>
      </c>
      <c r="J13" s="703" t="s">
        <v>556</v>
      </c>
      <c r="K13" s="704">
        <f>AVERAGE(B56:B10055)</f>
        <v>20.455223611113379</v>
      </c>
      <c r="L13" s="55">
        <f ca="1">IFERROR(K13/DCF!$Z$212-1,"")</f>
        <v>-0.62814093202600751</v>
      </c>
    </row>
    <row r="14" spans="2:12" ht="15" thickBot="1">
      <c r="B14" t="s">
        <v>470</v>
      </c>
      <c r="J14" s="701" t="s">
        <v>557</v>
      </c>
      <c r="K14" s="698">
        <f>MEDIAN(B56:B10055)</f>
        <v>18.059569573941893</v>
      </c>
      <c r="L14" s="705">
        <f ca="1">IFERROR(K14/DCF!$Z$212-1,"")</f>
        <v>-0.67169194346382533</v>
      </c>
    </row>
    <row r="15" spans="2:12" ht="15">
      <c r="B15" s="608"/>
      <c r="C15" s="609"/>
      <c r="D15" s="608"/>
      <c r="E15" s="614" t="s">
        <v>205</v>
      </c>
      <c r="F15" s="608"/>
      <c r="J15" s="701" t="s">
        <v>558</v>
      </c>
      <c r="K15" s="698">
        <f>MAX(B56:B10055)</f>
        <v>131.56883155821708</v>
      </c>
      <c r="L15" s="53">
        <f ca="1">IFERROR(K15/DCF!$Z$212-1,"")</f>
        <v>1.3918126737604908</v>
      </c>
    </row>
    <row r="16" spans="2:12" ht="15" thickBot="1">
      <c r="B16" s="602"/>
      <c r="C16" s="607"/>
      <c r="D16" s="613">
        <f>DCF!F7</f>
        <v>-0.02</v>
      </c>
      <c r="E16" s="613">
        <f>DCF!I7</f>
        <v>0</v>
      </c>
      <c r="F16" s="613">
        <f>DCF!L7</f>
        <v>0.02</v>
      </c>
      <c r="J16" s="607" t="s">
        <v>559</v>
      </c>
      <c r="K16" s="702">
        <f>_xlfn.STDEV.P(B56:B10055)</f>
        <v>11.150591369196608</v>
      </c>
      <c r="L16" s="692"/>
    </row>
    <row r="17" spans="2:10">
      <c r="C17" s="615">
        <f>DCF!F8</f>
        <v>-0.01</v>
      </c>
      <c r="D17" s="53">
        <f ca="1">IFERROR(DCF!AY298/DCF!$Z$212-1,"")</f>
        <v>-0.84046288625779264</v>
      </c>
      <c r="E17" s="53">
        <f ca="1">IFERROR(DCF!AZ298/DCF!$Z$212-1,"")</f>
        <v>-0.82821580902555292</v>
      </c>
      <c r="F17" s="53">
        <f ca="1">IFERROR(DCF!BA298/DCF!$Z$212-1,"")</f>
        <v>-0.8159687317933132</v>
      </c>
      <c r="J17" s="701" t="s">
        <v>560</v>
      </c>
    </row>
    <row r="18" spans="2:10" ht="15">
      <c r="B18" s="16" t="s">
        <v>362</v>
      </c>
      <c r="C18" s="615">
        <f>DCF!I8</f>
        <v>0</v>
      </c>
      <c r="D18" s="53">
        <f ca="1">IFERROR(DCF!AY299/DCF!$Z$212-1,"")</f>
        <v>-0.77291484493500495</v>
      </c>
      <c r="E18" s="53">
        <f ca="1">IFERROR(DCF!AZ299/DCF!$Z$212-1,"")</f>
        <v>-0.75725725858179138</v>
      </c>
      <c r="F18" s="53">
        <f ca="1">IFERROR(DCF!BA299/DCF!$Z$212-1,"")</f>
        <v>-0.74159967222857781</v>
      </c>
      <c r="J18" s="701" t="s">
        <v>561</v>
      </c>
    </row>
    <row r="19" spans="2:10" ht="15" thickBot="1">
      <c r="B19" s="602"/>
      <c r="C19" s="616">
        <f>DCF!L8</f>
        <v>0.01</v>
      </c>
      <c r="D19" s="692">
        <f ca="1">IFERROR(DCF!AY300/DCF!$Z$212-1,"")</f>
        <v>-0.6835832152347221</v>
      </c>
      <c r="E19" s="692">
        <f ca="1">IFERROR(DCF!AZ300/DCF!$Z$212-1,"")</f>
        <v>-0.66357370779482094</v>
      </c>
      <c r="F19" s="692">
        <f ca="1">IFERROR(DCF!BA300/DCF!$Z$212-1,"")</f>
        <v>-0.64356420035491957</v>
      </c>
    </row>
    <row r="22" spans="2:10" ht="15">
      <c r="B22" s="618" t="s">
        <v>471</v>
      </c>
      <c r="C22" s="29"/>
      <c r="D22" s="29"/>
      <c r="E22" s="29"/>
      <c r="F22" s="29"/>
      <c r="G22" s="29"/>
      <c r="H22" s="29"/>
    </row>
    <row r="26" spans="2:10">
      <c r="E26" s="700"/>
    </row>
    <row r="42" spans="2:2" ht="15">
      <c r="B42" s="1"/>
    </row>
    <row r="43" spans="2:2" ht="15">
      <c r="B43" s="1"/>
    </row>
    <row r="44" spans="2:2" ht="15">
      <c r="B44" s="1"/>
    </row>
    <row r="45" spans="2:2" ht="15">
      <c r="B45" s="1"/>
    </row>
    <row r="46" spans="2:2" ht="15">
      <c r="B46" s="1"/>
    </row>
    <row r="47" spans="2:2" ht="15">
      <c r="B47" s="1"/>
    </row>
    <row r="48" spans="2:2" ht="15">
      <c r="B48" s="1"/>
    </row>
    <row r="49" spans="2:6" ht="15">
      <c r="B49" s="1"/>
    </row>
    <row r="50" spans="2:6" ht="15">
      <c r="B50" s="1"/>
    </row>
    <row r="51" spans="2:6" ht="15">
      <c r="B51" s="1"/>
    </row>
    <row r="52" spans="2:6" ht="15">
      <c r="B52" s="1"/>
    </row>
    <row r="53" spans="2:6" ht="15">
      <c r="B53" s="1"/>
    </row>
    <row r="54" spans="2:6" ht="15">
      <c r="B54" s="1"/>
    </row>
    <row r="55" spans="2:6" ht="15">
      <c r="B55" s="1" t="s">
        <v>562</v>
      </c>
      <c r="E55" s="24"/>
      <c r="F55" s="24"/>
    </row>
    <row r="56" spans="2:6" ht="15">
      <c r="B56" s="181">
        <v>0</v>
      </c>
      <c r="E56" s="24"/>
      <c r="F56" s="24"/>
    </row>
    <row r="57" spans="2:6" ht="15">
      <c r="B57" s="181">
        <v>18.295293214615242</v>
      </c>
      <c r="E57" s="24"/>
      <c r="F57" s="617"/>
    </row>
    <row r="58" spans="2:6" ht="15">
      <c r="B58" s="181">
        <v>10.506329038163972</v>
      </c>
      <c r="E58" s="24"/>
      <c r="F58" s="617"/>
    </row>
    <row r="59" spans="2:6" ht="15">
      <c r="B59" s="181">
        <v>20.512016996122796</v>
      </c>
    </row>
    <row r="60" spans="2:6" ht="15">
      <c r="B60" s="181">
        <v>18.171592350389343</v>
      </c>
    </row>
    <row r="61" spans="2:6" ht="15">
      <c r="B61" s="181">
        <v>41.455006004482478</v>
      </c>
    </row>
    <row r="62" spans="2:6" ht="15">
      <c r="B62" s="181">
        <v>10.596932053321316</v>
      </c>
    </row>
    <row r="63" spans="2:6" ht="15">
      <c r="B63" s="181">
        <v>17.328569753938169</v>
      </c>
    </row>
    <row r="64" spans="2:6" ht="15">
      <c r="B64" s="181">
        <v>25.595557816987615</v>
      </c>
    </row>
    <row r="65" spans="2:2" ht="15">
      <c r="B65" s="181">
        <v>79.168203255845299</v>
      </c>
    </row>
    <row r="66" spans="2:2" ht="15">
      <c r="B66" s="181">
        <v>9.5409750743998405</v>
      </c>
    </row>
    <row r="67" spans="2:2" ht="15">
      <c r="B67" s="181">
        <v>17.433759375972521</v>
      </c>
    </row>
    <row r="68" spans="2:2" ht="15">
      <c r="B68" s="181">
        <v>12.024118085988535</v>
      </c>
    </row>
    <row r="69" spans="2:2" ht="15">
      <c r="B69" s="181">
        <v>14.110618735502291</v>
      </c>
    </row>
    <row r="70" spans="2:2" ht="15">
      <c r="B70" s="181">
        <v>18.224092587038811</v>
      </c>
    </row>
    <row r="71" spans="2:2" ht="15">
      <c r="B71" s="181">
        <v>29.095513646172598</v>
      </c>
    </row>
    <row r="72" spans="2:2" ht="15">
      <c r="B72" s="181">
        <v>16.362204045549451</v>
      </c>
    </row>
    <row r="73" spans="2:2" ht="15">
      <c r="B73" s="181">
        <v>5.0387033546372324</v>
      </c>
    </row>
    <row r="74" spans="2:2" ht="15">
      <c r="B74" s="181">
        <v>7.4219299153360128</v>
      </c>
    </row>
    <row r="75" spans="2:2" ht="15">
      <c r="B75" s="181">
        <v>12.866254492801136</v>
      </c>
    </row>
    <row r="76" spans="2:2" ht="15">
      <c r="B76" s="181">
        <v>7.5782890346833689</v>
      </c>
    </row>
    <row r="77" spans="2:2" ht="15">
      <c r="B77" s="181">
        <v>16.455036841272893</v>
      </c>
    </row>
    <row r="78" spans="2:2" ht="15">
      <c r="B78" s="181">
        <v>13.089531314526795</v>
      </c>
    </row>
    <row r="79" spans="2:2" ht="15">
      <c r="B79" s="181">
        <v>10.518500568641889</v>
      </c>
    </row>
    <row r="80" spans="2:2" ht="15">
      <c r="B80" s="181">
        <v>9.855675836270489</v>
      </c>
    </row>
    <row r="81" spans="2:2" ht="15">
      <c r="B81" s="181">
        <v>9.8934257218463291</v>
      </c>
    </row>
    <row r="82" spans="2:2" ht="15">
      <c r="B82" s="181">
        <v>15.056558285301698</v>
      </c>
    </row>
    <row r="83" spans="2:2" ht="15">
      <c r="B83" s="181">
        <v>11.77880342992461</v>
      </c>
    </row>
    <row r="84" spans="2:2" ht="15">
      <c r="B84" s="181">
        <v>35.763517793674382</v>
      </c>
    </row>
    <row r="85" spans="2:2" ht="15">
      <c r="B85" s="181">
        <v>10.095167649492574</v>
      </c>
    </row>
    <row r="86" spans="2:2" ht="15">
      <c r="B86" s="181">
        <v>21.712753224068901</v>
      </c>
    </row>
    <row r="87" spans="2:2" ht="15">
      <c r="B87" s="181">
        <v>23.664582075699595</v>
      </c>
    </row>
    <row r="88" spans="2:2" ht="15">
      <c r="B88" s="181">
        <v>6.3832722585358619</v>
      </c>
    </row>
    <row r="89" spans="2:2" ht="15">
      <c r="B89" s="181">
        <v>20.757945462280421</v>
      </c>
    </row>
    <row r="90" spans="2:2" ht="15">
      <c r="B90" s="181">
        <v>58.719582069815267</v>
      </c>
    </row>
    <row r="91" spans="2:2" ht="15">
      <c r="B91" s="181">
        <v>27.131103026676669</v>
      </c>
    </row>
    <row r="92" spans="2:2" ht="15">
      <c r="B92" s="181">
        <v>16.535810491730334</v>
      </c>
    </row>
    <row r="93" spans="2:2" ht="15">
      <c r="B93" s="181">
        <v>24.800564363344787</v>
      </c>
    </row>
    <row r="94" spans="2:2" ht="15">
      <c r="B94" s="181">
        <v>8.8501626300535481</v>
      </c>
    </row>
    <row r="95" spans="2:2" ht="15">
      <c r="B95" s="181">
        <v>20.132376881919551</v>
      </c>
    </row>
    <row r="96" spans="2:2" ht="15">
      <c r="B96" s="181">
        <v>17.604771802735819</v>
      </c>
    </row>
    <row r="97" spans="2:2" ht="15">
      <c r="B97" s="181">
        <v>17.884614143333941</v>
      </c>
    </row>
    <row r="98" spans="2:2" ht="15">
      <c r="B98" s="181">
        <v>46.645745079186256</v>
      </c>
    </row>
    <row r="99" spans="2:2" ht="15">
      <c r="B99" s="181">
        <v>15.833381667505277</v>
      </c>
    </row>
    <row r="100" spans="2:2" ht="15">
      <c r="B100" s="181">
        <v>25.750050164486055</v>
      </c>
    </row>
    <row r="101" spans="2:2" ht="15">
      <c r="B101" s="181">
        <v>8.4977753797642581</v>
      </c>
    </row>
    <row r="102" spans="2:2" ht="15">
      <c r="B102" s="181">
        <v>21.628486826799339</v>
      </c>
    </row>
    <row r="103" spans="2:2" ht="15">
      <c r="B103" s="181">
        <v>17.046275189292864</v>
      </c>
    </row>
    <row r="104" spans="2:2" ht="15">
      <c r="B104" s="181">
        <v>66.833042943001217</v>
      </c>
    </row>
    <row r="105" spans="2:2" ht="15">
      <c r="B105" s="181">
        <v>25.337656478432777</v>
      </c>
    </row>
    <row r="106" spans="2:2" ht="15">
      <c r="B106" s="181">
        <v>39.969464047944015</v>
      </c>
    </row>
    <row r="107" spans="2:2" ht="15">
      <c r="B107" s="181">
        <v>38.068552005669915</v>
      </c>
    </row>
    <row r="108" spans="2:2" ht="15">
      <c r="B108" s="181">
        <v>13.957597064553914</v>
      </c>
    </row>
    <row r="109" spans="2:2" ht="15">
      <c r="B109" s="181">
        <v>20.367524040335176</v>
      </c>
    </row>
    <row r="110" spans="2:2" ht="15">
      <c r="B110" s="181">
        <v>25.315685316618627</v>
      </c>
    </row>
    <row r="111" spans="2:2" ht="15">
      <c r="B111" s="181">
        <v>12.058018067495725</v>
      </c>
    </row>
    <row r="112" spans="2:2" ht="15">
      <c r="B112" s="181">
        <v>9.017593731410626</v>
      </c>
    </row>
    <row r="113" spans="2:2" ht="15">
      <c r="B113" s="181">
        <v>9.1986294117659053</v>
      </c>
    </row>
    <row r="114" spans="2:2" ht="15">
      <c r="B114" s="181">
        <v>11.51907054252379</v>
      </c>
    </row>
    <row r="115" spans="2:2" ht="15">
      <c r="B115" s="181">
        <v>21.753748693840748</v>
      </c>
    </row>
    <row r="116" spans="2:2" ht="15">
      <c r="B116" s="181">
        <v>14.08438874289814</v>
      </c>
    </row>
    <row r="117" spans="2:2" ht="15">
      <c r="B117" s="181">
        <v>20.316381596822879</v>
      </c>
    </row>
    <row r="118" spans="2:2" ht="15">
      <c r="B118" s="181">
        <v>24.327102091458233</v>
      </c>
    </row>
    <row r="119" spans="2:2" ht="15">
      <c r="B119" s="181">
        <v>9.431115669240123</v>
      </c>
    </row>
    <row r="120" spans="2:2" ht="15">
      <c r="B120" s="181">
        <v>41.204540182653766</v>
      </c>
    </row>
    <row r="121" spans="2:2" ht="15">
      <c r="B121" s="181">
        <v>33.321425912112431</v>
      </c>
    </row>
    <row r="122" spans="2:2" ht="15">
      <c r="B122" s="181">
        <v>14.67056360252656</v>
      </c>
    </row>
    <row r="123" spans="2:2" ht="15">
      <c r="B123" s="181">
        <v>17.430425877192675</v>
      </c>
    </row>
    <row r="124" spans="2:2" ht="15">
      <c r="B124" s="181">
        <v>25.590323755043993</v>
      </c>
    </row>
    <row r="125" spans="2:2" ht="15">
      <c r="B125" s="181">
        <v>8.1898730389545396</v>
      </c>
    </row>
    <row r="126" spans="2:2" ht="15">
      <c r="B126" s="181">
        <v>5.9202802479254863</v>
      </c>
    </row>
    <row r="127" spans="2:2" ht="15">
      <c r="B127" s="181">
        <v>14.487136473725897</v>
      </c>
    </row>
    <row r="128" spans="2:2" ht="15">
      <c r="B128" s="181">
        <v>26.919437742911267</v>
      </c>
    </row>
    <row r="129" spans="2:2" ht="15">
      <c r="B129" s="181">
        <v>22.379209891649317</v>
      </c>
    </row>
    <row r="130" spans="2:2" ht="15">
      <c r="B130" s="181">
        <v>14.411857503842764</v>
      </c>
    </row>
    <row r="131" spans="2:2" ht="15">
      <c r="B131" s="181">
        <v>20.895741266503531</v>
      </c>
    </row>
    <row r="132" spans="2:2" ht="15">
      <c r="B132" s="181">
        <v>9.5440837700525929</v>
      </c>
    </row>
    <row r="133" spans="2:2" ht="15">
      <c r="B133" s="181">
        <v>10.798075955753001</v>
      </c>
    </row>
    <row r="134" spans="2:2" ht="15">
      <c r="B134" s="181">
        <v>31.490260439103736</v>
      </c>
    </row>
    <row r="135" spans="2:2" ht="15">
      <c r="B135" s="181">
        <v>11.435504083149063</v>
      </c>
    </row>
    <row r="136" spans="2:2" ht="15">
      <c r="B136" s="181">
        <v>18.328043694445771</v>
      </c>
    </row>
    <row r="137" spans="2:2" ht="15">
      <c r="B137" s="181">
        <v>11.87946127791035</v>
      </c>
    </row>
    <row r="138" spans="2:2" ht="15">
      <c r="B138" s="181">
        <v>23.258697554087583</v>
      </c>
    </row>
    <row r="139" spans="2:2" ht="15">
      <c r="B139" s="181">
        <v>23.470110985807523</v>
      </c>
    </row>
    <row r="140" spans="2:2" ht="15">
      <c r="B140" s="181">
        <v>25.769326139742251</v>
      </c>
    </row>
    <row r="141" spans="2:2" ht="15">
      <c r="B141" s="181">
        <v>12.134110826884189</v>
      </c>
    </row>
    <row r="142" spans="2:2" ht="15">
      <c r="B142" s="181">
        <v>25.602082564248597</v>
      </c>
    </row>
    <row r="143" spans="2:2" ht="15">
      <c r="B143" s="181">
        <v>5.6796106860109941</v>
      </c>
    </row>
    <row r="144" spans="2:2" ht="15">
      <c r="B144" s="181">
        <v>9.3977672800816059</v>
      </c>
    </row>
    <row r="145" spans="2:2" ht="15">
      <c r="B145" s="181">
        <v>18.490579212423388</v>
      </c>
    </row>
    <row r="146" spans="2:2" ht="15">
      <c r="B146" s="181">
        <v>38.338465516277573</v>
      </c>
    </row>
    <row r="147" spans="2:2" ht="15">
      <c r="B147" s="181">
        <v>12.865294126039624</v>
      </c>
    </row>
    <row r="148" spans="2:2" ht="15">
      <c r="B148" s="181">
        <v>29.931441661267542</v>
      </c>
    </row>
    <row r="149" spans="2:2" ht="15">
      <c r="B149" s="181">
        <v>14.635387759837055</v>
      </c>
    </row>
    <row r="150" spans="2:2" ht="15">
      <c r="B150" s="181">
        <v>27.276679945070288</v>
      </c>
    </row>
    <row r="151" spans="2:2" ht="15">
      <c r="B151" s="181">
        <v>22.653928792177176</v>
      </c>
    </row>
    <row r="152" spans="2:2" ht="15">
      <c r="B152" s="181">
        <v>19.814250467647355</v>
      </c>
    </row>
    <row r="153" spans="2:2" ht="15">
      <c r="B153" s="181">
        <v>35.65139194801926</v>
      </c>
    </row>
    <row r="154" spans="2:2" ht="15">
      <c r="B154" s="181">
        <v>19.304176867812121</v>
      </c>
    </row>
    <row r="155" spans="2:2" ht="15">
      <c r="B155" s="181">
        <v>10.744077309943908</v>
      </c>
    </row>
    <row r="156" spans="2:2" ht="15">
      <c r="B156" s="181">
        <v>8.3048366484563374</v>
      </c>
    </row>
    <row r="157" spans="2:2" ht="15">
      <c r="B157" s="181">
        <v>26.4521824788728</v>
      </c>
    </row>
    <row r="158" spans="2:2" ht="15">
      <c r="B158" s="181">
        <v>11.338925311279278</v>
      </c>
    </row>
    <row r="159" spans="2:2" ht="15">
      <c r="B159" s="181">
        <v>26.705553624413831</v>
      </c>
    </row>
    <row r="160" spans="2:2" ht="15">
      <c r="B160" s="181">
        <v>12.813017408103651</v>
      </c>
    </row>
    <row r="161" spans="2:2" ht="15">
      <c r="B161" s="181">
        <v>22.228273808125</v>
      </c>
    </row>
    <row r="162" spans="2:2" ht="15">
      <c r="B162" s="181">
        <v>8.4152212977133498</v>
      </c>
    </row>
    <row r="163" spans="2:2" ht="15">
      <c r="B163" s="181">
        <v>32.491555018713591</v>
      </c>
    </row>
    <row r="164" spans="2:2" ht="15">
      <c r="B164" s="181">
        <v>14.109854062291435</v>
      </c>
    </row>
    <row r="165" spans="2:2" ht="15">
      <c r="B165" s="181">
        <v>18.241072763055087</v>
      </c>
    </row>
    <row r="166" spans="2:2" ht="15">
      <c r="B166" s="181">
        <v>38.149084064801961</v>
      </c>
    </row>
    <row r="167" spans="2:2" ht="15">
      <c r="B167" s="181">
        <v>9.4036792705146599</v>
      </c>
    </row>
    <row r="168" spans="2:2" ht="15">
      <c r="B168" s="181">
        <v>17.504958225720319</v>
      </c>
    </row>
    <row r="169" spans="2:2" ht="15">
      <c r="B169" s="181">
        <v>19.15156978868168</v>
      </c>
    </row>
    <row r="170" spans="2:2" ht="15">
      <c r="B170" s="181">
        <v>8.732165646042235</v>
      </c>
    </row>
    <row r="171" spans="2:2" ht="15">
      <c r="B171" s="181">
        <v>22.000501775748351</v>
      </c>
    </row>
    <row r="172" spans="2:2" ht="15">
      <c r="B172" s="181">
        <v>9.2055789429862163</v>
      </c>
    </row>
    <row r="173" spans="2:2" ht="15">
      <c r="B173" s="181">
        <v>12.38206023040671</v>
      </c>
    </row>
    <row r="174" spans="2:2" ht="15">
      <c r="B174" s="181">
        <v>23.728673039897725</v>
      </c>
    </row>
    <row r="175" spans="2:2" ht="15">
      <c r="B175" s="181">
        <v>7.5770048558914382</v>
      </c>
    </row>
    <row r="176" spans="2:2" ht="15">
      <c r="B176" s="181">
        <v>54.572413263028622</v>
      </c>
    </row>
    <row r="177" spans="2:2" ht="15">
      <c r="B177" s="181">
        <v>11.414748874286298</v>
      </c>
    </row>
    <row r="178" spans="2:2" ht="15">
      <c r="B178" s="181">
        <v>17.015507881034459</v>
      </c>
    </row>
    <row r="179" spans="2:2" ht="15">
      <c r="B179" s="181">
        <v>23.8210692405552</v>
      </c>
    </row>
    <row r="180" spans="2:2" ht="15">
      <c r="B180" s="181">
        <v>15.752894725544255</v>
      </c>
    </row>
    <row r="181" spans="2:2" ht="15">
      <c r="B181" s="181">
        <v>9.5315900733204</v>
      </c>
    </row>
    <row r="182" spans="2:2" ht="15">
      <c r="B182" s="181">
        <v>20.125423378438967</v>
      </c>
    </row>
    <row r="183" spans="2:2" ht="15">
      <c r="B183" s="181">
        <v>42.875221289950105</v>
      </c>
    </row>
    <row r="184" spans="2:2" ht="15">
      <c r="B184" s="181">
        <v>8.0778965339621713</v>
      </c>
    </row>
    <row r="185" spans="2:2" ht="15">
      <c r="B185" s="181">
        <v>13.537331760418038</v>
      </c>
    </row>
    <row r="186" spans="2:2" ht="15">
      <c r="B186" s="181">
        <v>9.0144449499334129</v>
      </c>
    </row>
    <row r="187" spans="2:2" ht="15">
      <c r="B187" s="181">
        <v>13.941509822742532</v>
      </c>
    </row>
    <row r="188" spans="2:2" ht="15">
      <c r="B188" s="181">
        <v>43.940382405711304</v>
      </c>
    </row>
    <row r="189" spans="2:2" ht="15">
      <c r="B189" s="181">
        <v>9.5184355720009215</v>
      </c>
    </row>
    <row r="190" spans="2:2" ht="15">
      <c r="B190" s="181">
        <v>14.24737418606462</v>
      </c>
    </row>
    <row r="191" spans="2:2" ht="15">
      <c r="B191" s="181">
        <v>15.457281907843617</v>
      </c>
    </row>
    <row r="192" spans="2:2" ht="15">
      <c r="B192" s="181">
        <v>9.6762271200305072</v>
      </c>
    </row>
    <row r="193" spans="2:2" ht="15">
      <c r="B193" s="181">
        <v>12.09127947198027</v>
      </c>
    </row>
    <row r="194" spans="2:2" ht="15">
      <c r="B194" s="181">
        <v>33.080708074081869</v>
      </c>
    </row>
    <row r="195" spans="2:2" ht="15">
      <c r="B195" s="181">
        <v>17.205805135835451</v>
      </c>
    </row>
    <row r="196" spans="2:2" ht="15">
      <c r="B196" s="181">
        <v>24.624835710133507</v>
      </c>
    </row>
    <row r="197" spans="2:2" ht="15">
      <c r="B197" s="181">
        <v>15.150700026381314</v>
      </c>
    </row>
    <row r="198" spans="2:2" ht="15">
      <c r="B198" s="181">
        <v>21.894196172076434</v>
      </c>
    </row>
    <row r="199" spans="2:2" ht="15">
      <c r="B199" s="181">
        <v>9.4282274448999353</v>
      </c>
    </row>
    <row r="200" spans="2:2" ht="15">
      <c r="B200" s="181">
        <v>20.622404790500664</v>
      </c>
    </row>
    <row r="201" spans="2:2" ht="15">
      <c r="B201" s="181">
        <v>17.574011623698311</v>
      </c>
    </row>
    <row r="202" spans="2:2" ht="15">
      <c r="B202" s="181">
        <v>26.996184350975643</v>
      </c>
    </row>
    <row r="203" spans="2:2" ht="15">
      <c r="B203" s="181">
        <v>28.970978414017953</v>
      </c>
    </row>
    <row r="204" spans="2:2" ht="15">
      <c r="B204" s="181">
        <v>15.026471048213738</v>
      </c>
    </row>
    <row r="205" spans="2:2" ht="15">
      <c r="B205" s="181">
        <v>24.766741894674603</v>
      </c>
    </row>
    <row r="206" spans="2:2" ht="15">
      <c r="B206" s="181">
        <v>19.297505178345965</v>
      </c>
    </row>
    <row r="207" spans="2:2" ht="15">
      <c r="B207" s="181">
        <v>8.7614263788077125</v>
      </c>
    </row>
    <row r="208" spans="2:2" ht="15">
      <c r="B208" s="181">
        <v>37.524164837518299</v>
      </c>
    </row>
    <row r="209" spans="2:2" ht="15">
      <c r="B209" s="181">
        <v>17.626782674326776</v>
      </c>
    </row>
    <row r="210" spans="2:2" ht="15">
      <c r="B210" s="181">
        <v>23.165095141564901</v>
      </c>
    </row>
    <row r="211" spans="2:2" ht="15">
      <c r="B211" s="181">
        <v>17.727615252334076</v>
      </c>
    </row>
    <row r="212" spans="2:2" ht="15">
      <c r="B212" s="181">
        <v>18.833275955753468</v>
      </c>
    </row>
    <row r="213" spans="2:2" ht="15">
      <c r="B213" s="181">
        <v>6.5847486529826602</v>
      </c>
    </row>
    <row r="214" spans="2:2" ht="15">
      <c r="B214" s="181">
        <v>16.886828448476006</v>
      </c>
    </row>
    <row r="215" spans="2:2" ht="15">
      <c r="B215" s="181">
        <v>27.549596418621025</v>
      </c>
    </row>
    <row r="216" spans="2:2" ht="15">
      <c r="B216" s="181">
        <v>7.3156396269081361</v>
      </c>
    </row>
    <row r="217" spans="2:2" ht="15">
      <c r="B217" s="181">
        <v>25.917860898869844</v>
      </c>
    </row>
    <row r="218" spans="2:2" ht="15">
      <c r="B218" s="181">
        <v>26.028043669993128</v>
      </c>
    </row>
    <row r="219" spans="2:2" ht="15">
      <c r="B219" s="181">
        <v>28.398653272481518</v>
      </c>
    </row>
    <row r="220" spans="2:2" ht="15">
      <c r="B220" s="181">
        <v>15.296661607373974</v>
      </c>
    </row>
    <row r="221" spans="2:2" ht="15">
      <c r="B221" s="181">
        <v>22.643415155495557</v>
      </c>
    </row>
    <row r="222" spans="2:2" ht="15">
      <c r="B222" s="181">
        <v>61.93632616730234</v>
      </c>
    </row>
    <row r="223" spans="2:2" ht="15">
      <c r="B223" s="181">
        <v>10.948359904559513</v>
      </c>
    </row>
    <row r="224" spans="2:2" ht="15">
      <c r="B224" s="181">
        <v>7.0597356320035214</v>
      </c>
    </row>
    <row r="225" spans="2:2" ht="15">
      <c r="B225" s="181">
        <v>9.6781443626742512</v>
      </c>
    </row>
    <row r="226" spans="2:2" ht="15">
      <c r="B226" s="181">
        <v>30.437684409774914</v>
      </c>
    </row>
    <row r="227" spans="2:2" ht="15">
      <c r="B227" s="181">
        <v>16.797628751867141</v>
      </c>
    </row>
    <row r="228" spans="2:2" ht="15">
      <c r="B228" s="181">
        <v>17.421272092369442</v>
      </c>
    </row>
    <row r="229" spans="2:2" ht="15">
      <c r="B229" s="181">
        <v>10.726767048050311</v>
      </c>
    </row>
    <row r="230" spans="2:2" ht="15">
      <c r="B230" s="181">
        <v>9.5358449370712819</v>
      </c>
    </row>
    <row r="231" spans="2:2" ht="15">
      <c r="B231" s="181">
        <v>29.821329129971478</v>
      </c>
    </row>
    <row r="232" spans="2:2" ht="15">
      <c r="B232" s="181">
        <v>10.604555502417757</v>
      </c>
    </row>
    <row r="233" spans="2:2" ht="15">
      <c r="B233" s="181">
        <v>17.115905489500285</v>
      </c>
    </row>
    <row r="234" spans="2:2" ht="15">
      <c r="B234" s="181">
        <v>26.10977942613011</v>
      </c>
    </row>
    <row r="235" spans="2:2" ht="15">
      <c r="B235" s="181">
        <v>13.625773162264274</v>
      </c>
    </row>
    <row r="236" spans="2:2" ht="15">
      <c r="B236" s="181">
        <v>19.468742881960058</v>
      </c>
    </row>
    <row r="237" spans="2:2" ht="15">
      <c r="B237" s="181">
        <v>26.178503701183605</v>
      </c>
    </row>
    <row r="238" spans="2:2" ht="15">
      <c r="B238" s="181">
        <v>29.451818341052359</v>
      </c>
    </row>
    <row r="239" spans="2:2" ht="15">
      <c r="B239" s="181">
        <v>14.448652584009908</v>
      </c>
    </row>
    <row r="240" spans="2:2" ht="15">
      <c r="B240" s="181">
        <v>11.125715126912796</v>
      </c>
    </row>
    <row r="241" spans="2:2" ht="15">
      <c r="B241" s="181">
        <v>18.016771233071157</v>
      </c>
    </row>
    <row r="242" spans="2:2" ht="15">
      <c r="B242" s="181">
        <v>8.367124132024804</v>
      </c>
    </row>
    <row r="243" spans="2:2" ht="15">
      <c r="B243" s="181">
        <v>13.663325548451802</v>
      </c>
    </row>
    <row r="244" spans="2:2" ht="15">
      <c r="B244" s="181">
        <v>38.149492160694813</v>
      </c>
    </row>
    <row r="245" spans="2:2" ht="15">
      <c r="B245" s="181">
        <v>15.755307425351557</v>
      </c>
    </row>
    <row r="246" spans="2:2" ht="15">
      <c r="B246" s="181">
        <v>31.986176812784723</v>
      </c>
    </row>
    <row r="247" spans="2:2" ht="15">
      <c r="B247" s="181">
        <v>51.088154726230776</v>
      </c>
    </row>
    <row r="248" spans="2:2" ht="15">
      <c r="B248" s="181">
        <v>24.162445326211333</v>
      </c>
    </row>
    <row r="249" spans="2:2" ht="15">
      <c r="B249" s="181">
        <v>27.76309852294732</v>
      </c>
    </row>
    <row r="250" spans="2:2" ht="15">
      <c r="B250" s="181">
        <v>11.995857697350486</v>
      </c>
    </row>
    <row r="251" spans="2:2" ht="15">
      <c r="B251" s="181">
        <v>20.101303739567101</v>
      </c>
    </row>
    <row r="252" spans="2:2" ht="15">
      <c r="B252" s="181">
        <v>35.247655915154404</v>
      </c>
    </row>
    <row r="253" spans="2:2" ht="15">
      <c r="B253" s="181">
        <v>36.458945933977908</v>
      </c>
    </row>
    <row r="254" spans="2:2" ht="15">
      <c r="B254" s="181">
        <v>16.553903045184391</v>
      </c>
    </row>
    <row r="255" spans="2:2" ht="15">
      <c r="B255" s="181">
        <v>36.548076243640473</v>
      </c>
    </row>
    <row r="256" spans="2:2" ht="15">
      <c r="B256" s="181">
        <v>17.279940100257082</v>
      </c>
    </row>
    <row r="257" spans="2:2" ht="15">
      <c r="B257" s="181">
        <v>14.555425715185825</v>
      </c>
    </row>
    <row r="258" spans="2:2" ht="15">
      <c r="B258" s="181">
        <v>5.2152689455651258</v>
      </c>
    </row>
    <row r="259" spans="2:2" ht="15">
      <c r="B259" s="181">
        <v>11.918625738881493</v>
      </c>
    </row>
    <row r="260" spans="2:2" ht="15">
      <c r="B260" s="181">
        <v>28.691478602826091</v>
      </c>
    </row>
    <row r="261" spans="2:2" ht="15">
      <c r="B261" s="181">
        <v>10.423301662036081</v>
      </c>
    </row>
    <row r="262" spans="2:2" ht="15">
      <c r="B262" s="181">
        <v>12.760630869925144</v>
      </c>
    </row>
    <row r="263" spans="2:2" ht="15">
      <c r="B263" s="181">
        <v>25.356435922798589</v>
      </c>
    </row>
    <row r="264" spans="2:2" ht="15">
      <c r="B264" s="181">
        <v>10.307514485928481</v>
      </c>
    </row>
    <row r="265" spans="2:2" ht="15">
      <c r="B265" s="181">
        <v>9.1003770194374169</v>
      </c>
    </row>
    <row r="266" spans="2:2" ht="15">
      <c r="B266" s="181">
        <v>55.26920958332223</v>
      </c>
    </row>
    <row r="267" spans="2:2" ht="15">
      <c r="B267" s="181">
        <v>25.154421743280832</v>
      </c>
    </row>
    <row r="268" spans="2:2" ht="15">
      <c r="B268" s="181">
        <v>31.36041322289234</v>
      </c>
    </row>
    <row r="269" spans="2:2" ht="15">
      <c r="B269" s="181">
        <v>15.742025262642187</v>
      </c>
    </row>
    <row r="270" spans="2:2" ht="15">
      <c r="B270" s="181">
        <v>13.535715792174967</v>
      </c>
    </row>
    <row r="271" spans="2:2" ht="15">
      <c r="B271" s="181">
        <v>39.026761558572268</v>
      </c>
    </row>
    <row r="272" spans="2:2" ht="15">
      <c r="B272" s="181">
        <v>20.681590776321858</v>
      </c>
    </row>
    <row r="273" spans="2:2" ht="15">
      <c r="B273" s="181">
        <v>52.321851467302345</v>
      </c>
    </row>
    <row r="274" spans="2:2" ht="15">
      <c r="B274" s="181">
        <v>46.815169973965183</v>
      </c>
    </row>
    <row r="275" spans="2:2" ht="15">
      <c r="B275" s="181">
        <v>12.785675022769363</v>
      </c>
    </row>
    <row r="276" spans="2:2" ht="15">
      <c r="B276" s="181">
        <v>42.275796624437831</v>
      </c>
    </row>
    <row r="277" spans="2:2" ht="15">
      <c r="B277" s="181">
        <v>11.978267006988707</v>
      </c>
    </row>
    <row r="278" spans="2:2" ht="15">
      <c r="B278" s="181">
        <v>15.204696811805103</v>
      </c>
    </row>
    <row r="279" spans="2:2" ht="15">
      <c r="B279" s="181">
        <v>21.403570301345724</v>
      </c>
    </row>
    <row r="280" spans="2:2" ht="15">
      <c r="B280" s="181">
        <v>14.227611053874611</v>
      </c>
    </row>
    <row r="281" spans="2:2" ht="15">
      <c r="B281" s="181">
        <v>18.080450847433916</v>
      </c>
    </row>
    <row r="282" spans="2:2" ht="15">
      <c r="B282" s="181">
        <v>17.535017440071559</v>
      </c>
    </row>
    <row r="283" spans="2:2" ht="15">
      <c r="B283" s="181">
        <v>46.900966071386684</v>
      </c>
    </row>
    <row r="284" spans="2:2" ht="15">
      <c r="B284" s="181">
        <v>12.234872235077216</v>
      </c>
    </row>
    <row r="285" spans="2:2" ht="15">
      <c r="B285" s="181">
        <v>93.161675815400486</v>
      </c>
    </row>
    <row r="286" spans="2:2" ht="15">
      <c r="B286" s="181">
        <v>26.089299083982088</v>
      </c>
    </row>
    <row r="287" spans="2:2" ht="15">
      <c r="B287" s="181">
        <v>14.938546726974863</v>
      </c>
    </row>
    <row r="288" spans="2:2" ht="15">
      <c r="B288" s="181">
        <v>11.124935707514553</v>
      </c>
    </row>
    <row r="289" spans="2:2" ht="15">
      <c r="B289" s="181">
        <v>11.48462820392008</v>
      </c>
    </row>
    <row r="290" spans="2:2" ht="15">
      <c r="B290" s="181">
        <v>9.4944237212871627</v>
      </c>
    </row>
    <row r="291" spans="2:2" ht="15">
      <c r="B291" s="181">
        <v>13.655898982727617</v>
      </c>
    </row>
    <row r="292" spans="2:2" ht="15">
      <c r="B292" s="181">
        <v>28.319905173698835</v>
      </c>
    </row>
    <row r="293" spans="2:2" ht="15">
      <c r="B293" s="181">
        <v>23.302318819275289</v>
      </c>
    </row>
    <row r="294" spans="2:2" ht="15">
      <c r="B294" s="181">
        <v>24.904657025357714</v>
      </c>
    </row>
    <row r="295" spans="2:2" ht="15">
      <c r="B295" s="181">
        <v>7.8479906936790771</v>
      </c>
    </row>
    <row r="296" spans="2:2" ht="15">
      <c r="B296" s="181">
        <v>8.7479784820519768</v>
      </c>
    </row>
    <row r="297" spans="2:2" ht="15">
      <c r="B297" s="181">
        <v>23.388060452806428</v>
      </c>
    </row>
    <row r="298" spans="2:2" ht="15">
      <c r="B298" s="181">
        <v>8.4772065105604106</v>
      </c>
    </row>
    <row r="299" spans="2:2" ht="15">
      <c r="B299" s="181">
        <v>28.613385060868115</v>
      </c>
    </row>
    <row r="300" spans="2:2" ht="15">
      <c r="B300" s="181">
        <v>24.44217107666341</v>
      </c>
    </row>
    <row r="301" spans="2:2" ht="15">
      <c r="B301" s="181">
        <v>10.593168046157933</v>
      </c>
    </row>
    <row r="302" spans="2:2" ht="15">
      <c r="B302" s="181">
        <v>12.179633510962118</v>
      </c>
    </row>
    <row r="303" spans="2:2" ht="15">
      <c r="B303" s="181">
        <v>22.036606198219413</v>
      </c>
    </row>
    <row r="304" spans="2:2" ht="15">
      <c r="B304" s="181">
        <v>25.367311642301988</v>
      </c>
    </row>
    <row r="305" spans="2:2" ht="15">
      <c r="B305" s="181">
        <v>16.8078372404437</v>
      </c>
    </row>
    <row r="306" spans="2:2" ht="15">
      <c r="B306" s="181">
        <v>19.308990659623447</v>
      </c>
    </row>
    <row r="307" spans="2:2" ht="15">
      <c r="B307" s="181">
        <v>13.562768160525895</v>
      </c>
    </row>
    <row r="308" spans="2:2" ht="15">
      <c r="B308" s="181">
        <v>26.110894341416895</v>
      </c>
    </row>
    <row r="309" spans="2:2" ht="15">
      <c r="B309" s="181">
        <v>7.2624544088313101</v>
      </c>
    </row>
    <row r="310" spans="2:2" ht="15">
      <c r="B310" s="181">
        <v>12.447424406076864</v>
      </c>
    </row>
    <row r="311" spans="2:2" ht="15">
      <c r="B311" s="181">
        <v>12.279749819024218</v>
      </c>
    </row>
    <row r="312" spans="2:2" ht="15">
      <c r="B312" s="181">
        <v>22.098284578172272</v>
      </c>
    </row>
    <row r="313" spans="2:2" ht="15">
      <c r="B313" s="181">
        <v>23.226218982362841</v>
      </c>
    </row>
    <row r="314" spans="2:2" ht="15">
      <c r="B314" s="181">
        <v>12.248564044841727</v>
      </c>
    </row>
    <row r="315" spans="2:2" ht="15">
      <c r="B315" s="181">
        <v>20.865650305282614</v>
      </c>
    </row>
    <row r="316" spans="2:2" ht="15">
      <c r="B316" s="181">
        <v>14.716841496977153</v>
      </c>
    </row>
    <row r="317" spans="2:2" ht="15">
      <c r="B317" s="181">
        <v>10.620548116634671</v>
      </c>
    </row>
    <row r="318" spans="2:2" ht="15">
      <c r="B318" s="181">
        <v>8.8798167690377259</v>
      </c>
    </row>
    <row r="319" spans="2:2" ht="15">
      <c r="B319" s="181">
        <v>37.117503364633244</v>
      </c>
    </row>
    <row r="320" spans="2:2" ht="15">
      <c r="B320" s="181">
        <v>50.310644679930128</v>
      </c>
    </row>
    <row r="321" spans="2:2" ht="15">
      <c r="B321" s="181">
        <v>33.716242734606311</v>
      </c>
    </row>
    <row r="322" spans="2:2" ht="15">
      <c r="B322" s="181">
        <v>13.059953841079873</v>
      </c>
    </row>
    <row r="323" spans="2:2" ht="15">
      <c r="B323" s="181">
        <v>44.229893083962267</v>
      </c>
    </row>
    <row r="324" spans="2:2" ht="15">
      <c r="B324" s="181">
        <v>18.477011314077984</v>
      </c>
    </row>
    <row r="325" spans="2:2" ht="15">
      <c r="B325" s="181">
        <v>32.903624445079032</v>
      </c>
    </row>
    <row r="326" spans="2:2" ht="15">
      <c r="B326" s="181">
        <v>21.889310624029157</v>
      </c>
    </row>
    <row r="327" spans="2:2" ht="15">
      <c r="B327" s="181">
        <v>9.4337947493897847</v>
      </c>
    </row>
    <row r="328" spans="2:2" ht="15">
      <c r="B328" s="181">
        <v>39.667893826716217</v>
      </c>
    </row>
    <row r="329" spans="2:2" ht="15">
      <c r="B329" s="181">
        <v>16.642850135668361</v>
      </c>
    </row>
    <row r="330" spans="2:2" ht="15">
      <c r="B330" s="181">
        <v>14.390580884456542</v>
      </c>
    </row>
    <row r="331" spans="2:2" ht="15">
      <c r="B331" s="181">
        <v>55.282182697128242</v>
      </c>
    </row>
    <row r="332" spans="2:2" ht="15">
      <c r="B332" s="181">
        <v>17.62977244155508</v>
      </c>
    </row>
    <row r="333" spans="2:2" ht="15">
      <c r="B333" s="181">
        <v>24.095273341358844</v>
      </c>
    </row>
    <row r="334" spans="2:2" ht="15">
      <c r="B334" s="181">
        <v>2.839405937023602</v>
      </c>
    </row>
    <row r="335" spans="2:2" ht="15">
      <c r="B335" s="181">
        <v>12.059028257211475</v>
      </c>
    </row>
    <row r="336" spans="2:2" ht="15">
      <c r="B336" s="181">
        <v>6.2991629240870388</v>
      </c>
    </row>
    <row r="337" spans="2:2" ht="15">
      <c r="B337" s="181">
        <v>23.871763668361478</v>
      </c>
    </row>
    <row r="338" spans="2:2" ht="15">
      <c r="B338" s="181">
        <v>8.2941762452498526</v>
      </c>
    </row>
    <row r="339" spans="2:2" ht="15">
      <c r="B339" s="181">
        <v>19.08326038119171</v>
      </c>
    </row>
    <row r="340" spans="2:2" ht="15">
      <c r="B340" s="181">
        <v>20.441698558134707</v>
      </c>
    </row>
    <row r="341" spans="2:2" ht="15">
      <c r="B341" s="181">
        <v>13.75366678569074</v>
      </c>
    </row>
    <row r="342" spans="2:2" ht="15">
      <c r="B342" s="181">
        <v>18.787041663450751</v>
      </c>
    </row>
    <row r="343" spans="2:2" ht="15">
      <c r="B343" s="181">
        <v>8.1974128015676762</v>
      </c>
    </row>
    <row r="344" spans="2:2" ht="15">
      <c r="B344" s="181">
        <v>19.956848013459361</v>
      </c>
    </row>
    <row r="345" spans="2:2" ht="15">
      <c r="B345" s="181">
        <v>31.416460603710977</v>
      </c>
    </row>
    <row r="346" spans="2:2" ht="15">
      <c r="B346" s="181">
        <v>41.579871672109554</v>
      </c>
    </row>
    <row r="347" spans="2:2" ht="15">
      <c r="B347" s="181">
        <v>16.841553309331644</v>
      </c>
    </row>
    <row r="348" spans="2:2" ht="15">
      <c r="B348" s="181">
        <v>11.158272422738545</v>
      </c>
    </row>
    <row r="349" spans="2:2" ht="15">
      <c r="B349" s="181">
        <v>34.535060900781176</v>
      </c>
    </row>
    <row r="350" spans="2:2" ht="15">
      <c r="B350" s="181">
        <v>8.3169154393676372</v>
      </c>
    </row>
    <row r="351" spans="2:2" ht="15">
      <c r="B351" s="181">
        <v>10.590105243743727</v>
      </c>
    </row>
    <row r="352" spans="2:2" ht="15">
      <c r="B352" s="181">
        <v>35.104330841072333</v>
      </c>
    </row>
    <row r="353" spans="2:2" ht="15">
      <c r="B353" s="181">
        <v>15.105292142245213</v>
      </c>
    </row>
    <row r="354" spans="2:2" ht="15">
      <c r="B354" s="181">
        <v>7.7043650966227908</v>
      </c>
    </row>
    <row r="355" spans="2:2" ht="15">
      <c r="B355" s="181">
        <v>21.41219204743491</v>
      </c>
    </row>
    <row r="356" spans="2:2" ht="15">
      <c r="B356" s="181">
        <v>13.679932024339653</v>
      </c>
    </row>
    <row r="357" spans="2:2" ht="15">
      <c r="B357" s="181">
        <v>13.2802493028088</v>
      </c>
    </row>
    <row r="358" spans="2:2" ht="15">
      <c r="B358" s="181">
        <v>35.059295234698538</v>
      </c>
    </row>
    <row r="359" spans="2:2" ht="15">
      <c r="B359" s="181">
        <v>14.462835476999244</v>
      </c>
    </row>
    <row r="360" spans="2:2" ht="15">
      <c r="B360" s="181">
        <v>25.367716744564731</v>
      </c>
    </row>
    <row r="361" spans="2:2" ht="15">
      <c r="B361" s="181">
        <v>8.6757032462402552</v>
      </c>
    </row>
    <row r="362" spans="2:2" ht="15">
      <c r="B362" s="181">
        <v>14.284083870150999</v>
      </c>
    </row>
    <row r="363" spans="2:2" ht="15">
      <c r="B363" s="181">
        <v>17.306429633449763</v>
      </c>
    </row>
    <row r="364" spans="2:2" ht="15">
      <c r="B364" s="181">
        <v>10.970172542974639</v>
      </c>
    </row>
    <row r="365" spans="2:2" ht="15">
      <c r="B365" s="181">
        <v>21.665088084267687</v>
      </c>
    </row>
    <row r="366" spans="2:2" ht="15">
      <c r="B366" s="181">
        <v>26.86022426997642</v>
      </c>
    </row>
    <row r="367" spans="2:2" ht="15">
      <c r="B367" s="181">
        <v>20.349087613446258</v>
      </c>
    </row>
    <row r="368" spans="2:2" ht="15">
      <c r="B368" s="181">
        <v>13.180348768580151</v>
      </c>
    </row>
    <row r="369" spans="2:2" ht="15">
      <c r="B369" s="181">
        <v>18.399588814851043</v>
      </c>
    </row>
    <row r="370" spans="2:2" ht="15">
      <c r="B370" s="181">
        <v>11.894954005242154</v>
      </c>
    </row>
    <row r="371" spans="2:2" ht="15">
      <c r="B371" s="181">
        <v>61.849233856935356</v>
      </c>
    </row>
    <row r="372" spans="2:2" ht="15">
      <c r="B372" s="181">
        <v>17.243613941240735</v>
      </c>
    </row>
    <row r="373" spans="2:2" ht="15">
      <c r="B373" s="181">
        <v>11.019416808966636</v>
      </c>
    </row>
    <row r="374" spans="2:2" ht="15">
      <c r="B374" s="181">
        <v>21.486830917852611</v>
      </c>
    </row>
    <row r="375" spans="2:2" ht="15">
      <c r="B375" s="181">
        <v>18.813298666605391</v>
      </c>
    </row>
    <row r="376" spans="2:2" ht="15">
      <c r="B376" s="181">
        <v>19.74325081984712</v>
      </c>
    </row>
    <row r="377" spans="2:2" ht="15">
      <c r="B377" s="181">
        <v>17.265313176296672</v>
      </c>
    </row>
    <row r="378" spans="2:2" ht="15">
      <c r="B378" s="181">
        <v>11.29545268558363</v>
      </c>
    </row>
    <row r="379" spans="2:2" ht="15">
      <c r="B379" s="181">
        <v>35.969536441637558</v>
      </c>
    </row>
    <row r="380" spans="2:2" ht="15">
      <c r="B380" s="181">
        <v>16.857535526697276</v>
      </c>
    </row>
    <row r="381" spans="2:2" ht="15">
      <c r="B381" s="181">
        <v>34.878488214427989</v>
      </c>
    </row>
    <row r="382" spans="2:2" ht="15">
      <c r="B382" s="181">
        <v>15.640935784550074</v>
      </c>
    </row>
    <row r="383" spans="2:2" ht="15">
      <c r="B383" s="181">
        <v>21.982226106548854</v>
      </c>
    </row>
    <row r="384" spans="2:2" ht="15">
      <c r="B384" s="181">
        <v>29.586246583537289</v>
      </c>
    </row>
    <row r="385" spans="2:2" ht="15">
      <c r="B385" s="181">
        <v>34.406355295093675</v>
      </c>
    </row>
    <row r="386" spans="2:2" ht="15">
      <c r="B386" s="181">
        <v>15.912815725542554</v>
      </c>
    </row>
    <row r="387" spans="2:2" ht="15">
      <c r="B387" s="181">
        <v>26.966228063519267</v>
      </c>
    </row>
    <row r="388" spans="2:2" ht="15">
      <c r="B388" s="181">
        <v>7.2532246111506842</v>
      </c>
    </row>
    <row r="389" spans="2:2" ht="15">
      <c r="B389" s="181">
        <v>17.395373222282991</v>
      </c>
    </row>
    <row r="390" spans="2:2" ht="15">
      <c r="B390" s="181">
        <v>12.75085443092666</v>
      </c>
    </row>
    <row r="391" spans="2:2" ht="15">
      <c r="B391" s="181">
        <v>8.4033393924456501</v>
      </c>
    </row>
    <row r="392" spans="2:2" ht="15">
      <c r="B392" s="181">
        <v>17.74412289444933</v>
      </c>
    </row>
    <row r="393" spans="2:2" ht="15">
      <c r="B393" s="181">
        <v>9.5431953213734779</v>
      </c>
    </row>
    <row r="394" spans="2:2" ht="15">
      <c r="B394" s="181">
        <v>24.330177851598997</v>
      </c>
    </row>
    <row r="395" spans="2:2" ht="15">
      <c r="B395" s="181">
        <v>6.3706120801411785</v>
      </c>
    </row>
    <row r="396" spans="2:2" ht="15">
      <c r="B396" s="181">
        <v>17.399557088949809</v>
      </c>
    </row>
    <row r="397" spans="2:2" ht="15">
      <c r="B397" s="181">
        <v>10.135901266090839</v>
      </c>
    </row>
    <row r="398" spans="2:2" ht="15">
      <c r="B398" s="181">
        <v>10.994168630093286</v>
      </c>
    </row>
    <row r="399" spans="2:2" ht="15">
      <c r="B399" s="181">
        <v>19.389002722959862</v>
      </c>
    </row>
    <row r="400" spans="2:2" ht="15">
      <c r="B400" s="181">
        <v>22.516092367100487</v>
      </c>
    </row>
    <row r="401" spans="2:2" ht="15">
      <c r="B401" s="181">
        <v>18.527862977070694</v>
      </c>
    </row>
    <row r="402" spans="2:2" ht="15">
      <c r="B402" s="181">
        <v>10.013836041476878</v>
      </c>
    </row>
    <row r="403" spans="2:2" ht="15">
      <c r="B403" s="181">
        <v>8.7540984908511064</v>
      </c>
    </row>
    <row r="404" spans="2:2" ht="15">
      <c r="B404" s="181">
        <v>26.275421090044979</v>
      </c>
    </row>
    <row r="405" spans="2:2" ht="15">
      <c r="B405" s="181">
        <v>22.624922027852925</v>
      </c>
    </row>
    <row r="406" spans="2:2" ht="15">
      <c r="B406" s="181">
        <v>22.686144819741724</v>
      </c>
    </row>
    <row r="407" spans="2:2" ht="15">
      <c r="B407" s="181">
        <v>21.757618336293852</v>
      </c>
    </row>
    <row r="408" spans="2:2" ht="15">
      <c r="B408" s="181">
        <v>22.377337292446271</v>
      </c>
    </row>
    <row r="409" spans="2:2" ht="15">
      <c r="B409" s="181">
        <v>17.960260698288803</v>
      </c>
    </row>
    <row r="410" spans="2:2" ht="15">
      <c r="B410" s="181">
        <v>24.339258482468505</v>
      </c>
    </row>
    <row r="411" spans="2:2" ht="15">
      <c r="B411" s="181">
        <v>5.3874979765386195</v>
      </c>
    </row>
    <row r="412" spans="2:2" ht="15">
      <c r="B412" s="181">
        <v>24.932455418221952</v>
      </c>
    </row>
    <row r="413" spans="2:2" ht="15">
      <c r="B413" s="181">
        <v>15.836891540926766</v>
      </c>
    </row>
    <row r="414" spans="2:2" ht="15">
      <c r="B414" s="181">
        <v>20.437294605522137</v>
      </c>
    </row>
    <row r="415" spans="2:2" ht="15">
      <c r="B415" s="181">
        <v>20.784918273532519</v>
      </c>
    </row>
    <row r="416" spans="2:2" ht="15">
      <c r="B416" s="181">
        <v>15.743735778737459</v>
      </c>
    </row>
    <row r="417" spans="2:2" ht="15">
      <c r="B417" s="181">
        <v>17.119004389524907</v>
      </c>
    </row>
    <row r="418" spans="2:2" ht="15">
      <c r="B418" s="181">
        <v>35.021556341457341</v>
      </c>
    </row>
    <row r="419" spans="2:2" ht="15">
      <c r="B419" s="181">
        <v>29.582002289088575</v>
      </c>
    </row>
    <row r="420" spans="2:2" ht="15">
      <c r="B420" s="181">
        <v>18.606593361628654</v>
      </c>
    </row>
    <row r="421" spans="2:2" ht="15">
      <c r="B421" s="181">
        <v>3.3610264406556256</v>
      </c>
    </row>
    <row r="422" spans="2:2" ht="15">
      <c r="B422" s="181">
        <v>13.436701296543024</v>
      </c>
    </row>
    <row r="423" spans="2:2" ht="15">
      <c r="B423" s="181">
        <v>22.677063814533881</v>
      </c>
    </row>
    <row r="424" spans="2:2" ht="15">
      <c r="B424" s="181">
        <v>11.013651128131047</v>
      </c>
    </row>
    <row r="425" spans="2:2" ht="15">
      <c r="B425" s="181">
        <v>9.8368117200187033</v>
      </c>
    </row>
    <row r="426" spans="2:2" ht="15">
      <c r="B426" s="181">
        <v>12.250868128098293</v>
      </c>
    </row>
    <row r="427" spans="2:2" ht="15">
      <c r="B427" s="181">
        <v>8.9084994619064624</v>
      </c>
    </row>
    <row r="428" spans="2:2" ht="15">
      <c r="B428" s="181">
        <v>20.988894660678163</v>
      </c>
    </row>
    <row r="429" spans="2:2" ht="15">
      <c r="B429" s="181">
        <v>21.266903799424281</v>
      </c>
    </row>
    <row r="430" spans="2:2" ht="15">
      <c r="B430" s="181">
        <v>37.395150454697323</v>
      </c>
    </row>
    <row r="431" spans="2:2" ht="15">
      <c r="B431" s="181">
        <v>6.9138387558515024</v>
      </c>
    </row>
    <row r="432" spans="2:2" ht="15">
      <c r="B432" s="181">
        <v>31.254208464687423</v>
      </c>
    </row>
    <row r="433" spans="2:2" ht="15">
      <c r="B433" s="181">
        <v>22.560745106466328</v>
      </c>
    </row>
    <row r="434" spans="2:2" ht="15">
      <c r="B434" s="181">
        <v>12.511523009105014</v>
      </c>
    </row>
    <row r="435" spans="2:2" ht="15">
      <c r="B435" s="181">
        <v>32.829508262738287</v>
      </c>
    </row>
    <row r="436" spans="2:2" ht="15">
      <c r="B436" s="181">
        <v>39.711670352969783</v>
      </c>
    </row>
    <row r="437" spans="2:2" ht="15">
      <c r="B437" s="181">
        <v>8.3576081404761418</v>
      </c>
    </row>
    <row r="438" spans="2:2" ht="15">
      <c r="B438" s="181">
        <v>14.351017794728623</v>
      </c>
    </row>
    <row r="439" spans="2:2" ht="15">
      <c r="B439" s="181">
        <v>23.708666042452631</v>
      </c>
    </row>
    <row r="440" spans="2:2" ht="15">
      <c r="B440" s="181">
        <v>7.5991808898878803</v>
      </c>
    </row>
    <row r="441" spans="2:2" ht="15">
      <c r="B441" s="181">
        <v>10.359099825535584</v>
      </c>
    </row>
    <row r="442" spans="2:2" ht="15">
      <c r="B442" s="181">
        <v>16.241906155424239</v>
      </c>
    </row>
    <row r="443" spans="2:2" ht="15">
      <c r="B443" s="181">
        <v>27.640052799937358</v>
      </c>
    </row>
    <row r="444" spans="2:2" ht="15">
      <c r="B444" s="181">
        <v>7.1130861086172938</v>
      </c>
    </row>
    <row r="445" spans="2:2" ht="15">
      <c r="B445" s="181">
        <v>28.694571701960381</v>
      </c>
    </row>
    <row r="446" spans="2:2" ht="15">
      <c r="B446" s="181">
        <v>44.148627652691481</v>
      </c>
    </row>
    <row r="447" spans="2:2" ht="15">
      <c r="B447" s="181">
        <v>17.23792653789641</v>
      </c>
    </row>
    <row r="448" spans="2:2" ht="15">
      <c r="B448" s="181">
        <v>9.9804172940017502</v>
      </c>
    </row>
    <row r="449" spans="2:2" ht="15">
      <c r="B449" s="181">
        <v>11.654664685597735</v>
      </c>
    </row>
    <row r="450" spans="2:2" ht="15">
      <c r="B450" s="181">
        <v>23.997474209010651</v>
      </c>
    </row>
    <row r="451" spans="2:2" ht="15">
      <c r="B451" s="181">
        <v>29.724331554784985</v>
      </c>
    </row>
    <row r="452" spans="2:2" ht="15">
      <c r="B452" s="181">
        <v>24.45321437330027</v>
      </c>
    </row>
    <row r="453" spans="2:2" ht="15">
      <c r="B453" s="181">
        <v>14.554564066659902</v>
      </c>
    </row>
    <row r="454" spans="2:2" ht="15">
      <c r="B454" s="181">
        <v>24.815119556060736</v>
      </c>
    </row>
    <row r="455" spans="2:2" ht="15">
      <c r="B455" s="181">
        <v>18.748482322239347</v>
      </c>
    </row>
    <row r="456" spans="2:2" ht="15">
      <c r="B456" s="181">
        <v>27.29773778710409</v>
      </c>
    </row>
    <row r="457" spans="2:2" ht="15">
      <c r="B457" s="181">
        <v>22.077386294814229</v>
      </c>
    </row>
    <row r="458" spans="2:2" ht="15">
      <c r="B458" s="181">
        <v>11.625183949188617</v>
      </c>
    </row>
    <row r="459" spans="2:2" ht="15">
      <c r="B459" s="181">
        <v>13.157236193273864</v>
      </c>
    </row>
    <row r="460" spans="2:2" ht="15">
      <c r="B460" s="181">
        <v>9.583608980177253</v>
      </c>
    </row>
    <row r="461" spans="2:2" ht="15">
      <c r="B461" s="181">
        <v>15.225517151803936</v>
      </c>
    </row>
    <row r="462" spans="2:2" ht="15">
      <c r="B462" s="181">
        <v>10.498933392200744</v>
      </c>
    </row>
    <row r="463" spans="2:2" ht="15">
      <c r="B463" s="181">
        <v>12.629503651750905</v>
      </c>
    </row>
    <row r="464" spans="2:2" ht="15">
      <c r="B464" s="181">
        <v>9.9579487403287512</v>
      </c>
    </row>
    <row r="465" spans="2:2" ht="15">
      <c r="B465" s="181">
        <v>21.829094535153729</v>
      </c>
    </row>
    <row r="466" spans="2:2" ht="15">
      <c r="B466" s="181">
        <v>17.718581366841629</v>
      </c>
    </row>
    <row r="467" spans="2:2" ht="15">
      <c r="B467" s="181">
        <v>18.185372089931874</v>
      </c>
    </row>
    <row r="468" spans="2:2" ht="15">
      <c r="B468" s="181">
        <v>10.280122710621152</v>
      </c>
    </row>
    <row r="469" spans="2:2" ht="15">
      <c r="B469" s="181">
        <v>7.0392352897225861</v>
      </c>
    </row>
    <row r="470" spans="2:2" ht="15">
      <c r="B470" s="181">
        <v>39.984505845869279</v>
      </c>
    </row>
    <row r="471" spans="2:2" ht="15">
      <c r="B471" s="181">
        <v>16.599856883748846</v>
      </c>
    </row>
    <row r="472" spans="2:2" ht="15">
      <c r="B472" s="181">
        <v>44.835622901697199</v>
      </c>
    </row>
    <row r="473" spans="2:2" ht="15">
      <c r="B473" s="181">
        <v>44.938131429109269</v>
      </c>
    </row>
    <row r="474" spans="2:2" ht="15">
      <c r="B474" s="181">
        <v>17.925713811776919</v>
      </c>
    </row>
    <row r="475" spans="2:2" ht="15">
      <c r="B475" s="181">
        <v>3.9030144597613639</v>
      </c>
    </row>
    <row r="476" spans="2:2" ht="15">
      <c r="B476" s="181">
        <v>16.791479826092274</v>
      </c>
    </row>
    <row r="477" spans="2:2" ht="15">
      <c r="B477" s="181">
        <v>16.129804241825127</v>
      </c>
    </row>
    <row r="478" spans="2:2" ht="15">
      <c r="B478" s="181">
        <v>13.595313595085873</v>
      </c>
    </row>
    <row r="479" spans="2:2" ht="15">
      <c r="B479" s="181">
        <v>14.62573566178556</v>
      </c>
    </row>
    <row r="480" spans="2:2" ht="15">
      <c r="B480" s="181">
        <v>10.101396673080554</v>
      </c>
    </row>
    <row r="481" spans="2:2" ht="15">
      <c r="B481" s="181">
        <v>59.285935874034969</v>
      </c>
    </row>
    <row r="482" spans="2:2" ht="15">
      <c r="B482" s="181">
        <v>18.25100244125181</v>
      </c>
    </row>
    <row r="483" spans="2:2" ht="15">
      <c r="B483" s="181">
        <v>38.638137931517974</v>
      </c>
    </row>
    <row r="484" spans="2:2" ht="15">
      <c r="B484" s="181">
        <v>25.482162797031279</v>
      </c>
    </row>
    <row r="485" spans="2:2" ht="15">
      <c r="B485" s="181">
        <v>23.367214668429646</v>
      </c>
    </row>
    <row r="486" spans="2:2" ht="15">
      <c r="B486" s="181">
        <v>18.323837904826409</v>
      </c>
    </row>
    <row r="487" spans="2:2" ht="15">
      <c r="B487" s="181">
        <v>34.148989826748327</v>
      </c>
    </row>
    <row r="488" spans="2:2" ht="15">
      <c r="B488" s="181">
        <v>39.664873988897064</v>
      </c>
    </row>
    <row r="489" spans="2:2" ht="15">
      <c r="B489" s="181">
        <v>28.185778324180561</v>
      </c>
    </row>
    <row r="490" spans="2:2" ht="15">
      <c r="B490" s="181">
        <v>9.570406144711443</v>
      </c>
    </row>
    <row r="491" spans="2:2" ht="15">
      <c r="B491" s="181">
        <v>11.435569276359919</v>
      </c>
    </row>
    <row r="492" spans="2:2" ht="15">
      <c r="B492" s="181">
        <v>29.668272513609221</v>
      </c>
    </row>
    <row r="493" spans="2:2" ht="15">
      <c r="B493" s="181">
        <v>12.354559125870034</v>
      </c>
    </row>
    <row r="494" spans="2:2" ht="15">
      <c r="B494" s="181">
        <v>26.960878861113216</v>
      </c>
    </row>
    <row r="495" spans="2:2" ht="15">
      <c r="B495" s="181">
        <v>38.322513374553147</v>
      </c>
    </row>
    <row r="496" spans="2:2" ht="15">
      <c r="B496" s="181">
        <v>19.509726325347721</v>
      </c>
    </row>
    <row r="497" spans="2:2" ht="15">
      <c r="B497" s="181">
        <v>10.19681745919562</v>
      </c>
    </row>
    <row r="498" spans="2:2" ht="15">
      <c r="B498" s="181">
        <v>29.268863921895132</v>
      </c>
    </row>
    <row r="499" spans="2:2" ht="15">
      <c r="B499" s="181">
        <v>10.640579858309627</v>
      </c>
    </row>
    <row r="500" spans="2:2" ht="15">
      <c r="B500" s="181">
        <v>14.670438567367285</v>
      </c>
    </row>
    <row r="501" spans="2:2" ht="15">
      <c r="B501" s="181">
        <v>8.3938954783384396</v>
      </c>
    </row>
    <row r="502" spans="2:2" ht="15">
      <c r="B502" s="181">
        <v>9.5222050890489758</v>
      </c>
    </row>
    <row r="503" spans="2:2" ht="15">
      <c r="B503" s="181">
        <v>12.276988887760862</v>
      </c>
    </row>
    <row r="504" spans="2:2" ht="15">
      <c r="B504" s="181">
        <v>12.554490349363641</v>
      </c>
    </row>
    <row r="505" spans="2:2" ht="15">
      <c r="B505" s="181">
        <v>24.794174936229521</v>
      </c>
    </row>
    <row r="506" spans="2:2" ht="15">
      <c r="B506" s="181">
        <v>30.00806920108014</v>
      </c>
    </row>
    <row r="507" spans="2:2" ht="15">
      <c r="B507" s="181">
        <v>38.31743396839039</v>
      </c>
    </row>
    <row r="508" spans="2:2" ht="15">
      <c r="B508" s="181">
        <v>8.0627666898868302</v>
      </c>
    </row>
    <row r="509" spans="2:2" ht="15">
      <c r="B509" s="181">
        <v>9.0971012377814251</v>
      </c>
    </row>
    <row r="510" spans="2:2" ht="15">
      <c r="B510" s="181">
        <v>30.071058639532129</v>
      </c>
    </row>
    <row r="511" spans="2:2" ht="15">
      <c r="B511" s="181">
        <v>19.053530150811341</v>
      </c>
    </row>
    <row r="512" spans="2:2" ht="15">
      <c r="B512" s="181">
        <v>11.826494896419284</v>
      </c>
    </row>
    <row r="513" spans="2:2" ht="15">
      <c r="B513" s="181">
        <v>8.4438667857465592</v>
      </c>
    </row>
    <row r="514" spans="2:2" ht="15">
      <c r="B514" s="181">
        <v>39.03769192311686</v>
      </c>
    </row>
    <row r="515" spans="2:2" ht="15">
      <c r="B515" s="181">
        <v>24.887510770575386</v>
      </c>
    </row>
    <row r="516" spans="2:2" ht="15">
      <c r="B516" s="181">
        <v>6.3933511598233785</v>
      </c>
    </row>
    <row r="517" spans="2:2" ht="15">
      <c r="B517" s="181">
        <v>37.582964065980818</v>
      </c>
    </row>
    <row r="518" spans="2:2" ht="15">
      <c r="B518" s="181">
        <v>13.712433282316679</v>
      </c>
    </row>
    <row r="519" spans="2:2" ht="15">
      <c r="B519" s="181">
        <v>19.669203701480136</v>
      </c>
    </row>
    <row r="520" spans="2:2" ht="15">
      <c r="B520" s="181">
        <v>28.704495475091772</v>
      </c>
    </row>
    <row r="521" spans="2:2" ht="15">
      <c r="B521" s="181">
        <v>12.599605296170804</v>
      </c>
    </row>
    <row r="522" spans="2:2" ht="15">
      <c r="B522" s="181">
        <v>11.871935374662154</v>
      </c>
    </row>
    <row r="523" spans="2:2" ht="15">
      <c r="B523" s="181">
        <v>13.02296901476527</v>
      </c>
    </row>
    <row r="524" spans="2:2" ht="15">
      <c r="B524" s="181">
        <v>37.678917242991844</v>
      </c>
    </row>
    <row r="525" spans="2:2" ht="15">
      <c r="B525" s="181">
        <v>10.681508573669278</v>
      </c>
    </row>
    <row r="526" spans="2:2" ht="15">
      <c r="B526" s="181">
        <v>11.205925974678435</v>
      </c>
    </row>
    <row r="527" spans="2:2" ht="15">
      <c r="B527" s="181">
        <v>15.187857243305208</v>
      </c>
    </row>
    <row r="528" spans="2:2" ht="15">
      <c r="B528" s="181">
        <v>7.960414844496646</v>
      </c>
    </row>
    <row r="529" spans="2:2" ht="15">
      <c r="B529" s="181">
        <v>11.671931257563248</v>
      </c>
    </row>
    <row r="530" spans="2:2" ht="15">
      <c r="B530" s="181">
        <v>10.331135631809994</v>
      </c>
    </row>
    <row r="531" spans="2:2" ht="15">
      <c r="B531" s="181">
        <v>11.114740378293845</v>
      </c>
    </row>
    <row r="532" spans="2:2" ht="15">
      <c r="B532" s="181">
        <v>21.519895121349624</v>
      </c>
    </row>
    <row r="533" spans="2:2" ht="15">
      <c r="B533" s="181">
        <v>32.797905048113535</v>
      </c>
    </row>
    <row r="534" spans="2:2" ht="15">
      <c r="B534" s="181">
        <v>23.760510613337601</v>
      </c>
    </row>
    <row r="535" spans="2:2" ht="15">
      <c r="B535" s="181">
        <v>4.2093840261000679</v>
      </c>
    </row>
    <row r="536" spans="2:2" ht="15">
      <c r="B536" s="181">
        <v>41.462434236282689</v>
      </c>
    </row>
    <row r="537" spans="2:2" ht="15">
      <c r="B537" s="181">
        <v>23.374062223919196</v>
      </c>
    </row>
    <row r="538" spans="2:2" ht="15">
      <c r="B538" s="181">
        <v>14.196497821536536</v>
      </c>
    </row>
    <row r="539" spans="2:2" ht="15">
      <c r="B539" s="181">
        <v>26.112130806943945</v>
      </c>
    </row>
    <row r="540" spans="2:2" ht="15">
      <c r="B540" s="181">
        <v>16.795428309648518</v>
      </c>
    </row>
    <row r="541" spans="2:2" ht="15">
      <c r="B541" s="181">
        <v>28.528343585249818</v>
      </c>
    </row>
    <row r="542" spans="2:2" ht="15">
      <c r="B542" s="181">
        <v>25.363180882505674</v>
      </c>
    </row>
    <row r="543" spans="2:2" ht="15">
      <c r="B543" s="181">
        <v>9.7901835274569713</v>
      </c>
    </row>
    <row r="544" spans="2:2" ht="15">
      <c r="B544" s="181">
        <v>12.258336029424179</v>
      </c>
    </row>
    <row r="545" spans="2:2" ht="15">
      <c r="B545" s="181">
        <v>12.228711083700279</v>
      </c>
    </row>
    <row r="546" spans="2:2" ht="15">
      <c r="B546" s="181">
        <v>8.8458215306477932</v>
      </c>
    </row>
    <row r="547" spans="2:2" ht="15">
      <c r="B547" s="181">
        <v>41.042206944856595</v>
      </c>
    </row>
    <row r="548" spans="2:2" ht="15">
      <c r="B548" s="181">
        <v>11.759859821545231</v>
      </c>
    </row>
    <row r="549" spans="2:2" ht="15">
      <c r="B549" s="181">
        <v>9.5834449905665551</v>
      </c>
    </row>
    <row r="550" spans="2:2" ht="15">
      <c r="B550" s="181">
        <v>26.098522341388453</v>
      </c>
    </row>
    <row r="551" spans="2:2" ht="15">
      <c r="B551" s="181">
        <v>7.225115278754374</v>
      </c>
    </row>
    <row r="552" spans="2:2" ht="15">
      <c r="B552" s="181">
        <v>4.1773757488109737</v>
      </c>
    </row>
    <row r="553" spans="2:2" ht="15">
      <c r="B553" s="181">
        <v>38.621764015263267</v>
      </c>
    </row>
    <row r="554" spans="2:2" ht="15">
      <c r="B554" s="181">
        <v>29.049973897258027</v>
      </c>
    </row>
    <row r="555" spans="2:2" ht="15">
      <c r="B555" s="181">
        <v>25.225149461374595</v>
      </c>
    </row>
    <row r="556" spans="2:2" ht="15">
      <c r="B556" s="181">
        <v>43.225663774041024</v>
      </c>
    </row>
    <row r="557" spans="2:2" ht="15">
      <c r="B557" s="181">
        <v>10.202636339645416</v>
      </c>
    </row>
    <row r="558" spans="2:2" ht="15">
      <c r="B558" s="181">
        <v>15.283609782252004</v>
      </c>
    </row>
    <row r="559" spans="2:2" ht="15">
      <c r="B559" s="181">
        <v>10.279767932254599</v>
      </c>
    </row>
    <row r="560" spans="2:2" ht="15">
      <c r="B560" s="181">
        <v>41.227917643087181</v>
      </c>
    </row>
    <row r="561" spans="2:2" ht="15">
      <c r="B561" s="181">
        <v>13.303747888695042</v>
      </c>
    </row>
    <row r="562" spans="2:2" ht="15">
      <c r="B562" s="181">
        <v>13.775311915700781</v>
      </c>
    </row>
    <row r="563" spans="2:2" ht="15">
      <c r="B563" s="181">
        <v>8.2280009900926903</v>
      </c>
    </row>
    <row r="564" spans="2:2" ht="15">
      <c r="B564" s="181">
        <v>23.596496387673106</v>
      </c>
    </row>
    <row r="565" spans="2:2" ht="15">
      <c r="B565" s="181">
        <v>11.059416801133326</v>
      </c>
    </row>
    <row r="566" spans="2:2" ht="15">
      <c r="B566" s="181">
        <v>16.588285181532324</v>
      </c>
    </row>
    <row r="567" spans="2:2" ht="15">
      <c r="B567" s="181">
        <v>14.836577591819282</v>
      </c>
    </row>
    <row r="568" spans="2:2" ht="15">
      <c r="B568" s="181">
        <v>22.48565518060192</v>
      </c>
    </row>
    <row r="569" spans="2:2" ht="15">
      <c r="B569" s="181">
        <v>10.485374831243552</v>
      </c>
    </row>
    <row r="570" spans="2:2" ht="15">
      <c r="B570" s="181">
        <v>30.927447557754441</v>
      </c>
    </row>
    <row r="571" spans="2:2" ht="15">
      <c r="B571" s="181">
        <v>18.138890314810052</v>
      </c>
    </row>
    <row r="572" spans="2:2" ht="15">
      <c r="B572" s="181">
        <v>7.9423901543713757</v>
      </c>
    </row>
    <row r="573" spans="2:2" ht="15">
      <c r="B573" s="181">
        <v>16.943159584126704</v>
      </c>
    </row>
    <row r="574" spans="2:2" ht="15">
      <c r="B574" s="181">
        <v>12.404481112742227</v>
      </c>
    </row>
    <row r="575" spans="2:2" ht="15">
      <c r="B575" s="181">
        <v>10.086848067818435</v>
      </c>
    </row>
    <row r="576" spans="2:2" ht="15">
      <c r="B576" s="181">
        <v>14.985619416511826</v>
      </c>
    </row>
    <row r="577" spans="2:2" ht="15">
      <c r="B577" s="181">
        <v>45.048170623709431</v>
      </c>
    </row>
    <row r="578" spans="2:2" ht="15">
      <c r="B578" s="181">
        <v>32.912925065919964</v>
      </c>
    </row>
    <row r="579" spans="2:2" ht="15">
      <c r="B579" s="181">
        <v>7.6340467884688117</v>
      </c>
    </row>
    <row r="580" spans="2:2" ht="15">
      <c r="B580" s="181">
        <v>22.939923125820904</v>
      </c>
    </row>
    <row r="581" spans="2:2" ht="15">
      <c r="B581" s="181">
        <v>16.321556597764562</v>
      </c>
    </row>
    <row r="582" spans="2:2" ht="15">
      <c r="B582" s="181">
        <v>30.087396607064054</v>
      </c>
    </row>
    <row r="583" spans="2:2" ht="15">
      <c r="B583" s="181">
        <v>24.678215707597452</v>
      </c>
    </row>
    <row r="584" spans="2:2" ht="15">
      <c r="B584" s="181">
        <v>58.042700119886689</v>
      </c>
    </row>
    <row r="585" spans="2:2" ht="15">
      <c r="B585" s="181">
        <v>15.349571958550081</v>
      </c>
    </row>
    <row r="586" spans="2:2" ht="15">
      <c r="B586" s="181">
        <v>14.217301829683052</v>
      </c>
    </row>
    <row r="587" spans="2:2" ht="15">
      <c r="B587" s="181">
        <v>17.255587172627958</v>
      </c>
    </row>
    <row r="588" spans="2:2" ht="15">
      <c r="B588" s="181">
        <v>26.059023252226233</v>
      </c>
    </row>
    <row r="589" spans="2:2" ht="15">
      <c r="B589" s="181">
        <v>6.5337580915237385</v>
      </c>
    </row>
    <row r="590" spans="2:2" ht="15">
      <c r="B590" s="181">
        <v>18.262988446664181</v>
      </c>
    </row>
    <row r="591" spans="2:2" ht="15">
      <c r="B591" s="181">
        <v>28.818308642576842</v>
      </c>
    </row>
    <row r="592" spans="2:2" ht="15">
      <c r="B592" s="181">
        <v>27.891369239543693</v>
      </c>
    </row>
    <row r="593" spans="2:2" ht="15">
      <c r="B593" s="181">
        <v>19.168310903924496</v>
      </c>
    </row>
    <row r="594" spans="2:2" ht="15">
      <c r="B594" s="181">
        <v>11.106350043536551</v>
      </c>
    </row>
    <row r="595" spans="2:2" ht="15">
      <c r="B595" s="181">
        <v>13.722407417772439</v>
      </c>
    </row>
    <row r="596" spans="2:2" ht="15">
      <c r="B596" s="181">
        <v>19.338094227984463</v>
      </c>
    </row>
    <row r="597" spans="2:2" ht="15">
      <c r="B597" s="181">
        <v>19.852510513430481</v>
      </c>
    </row>
    <row r="598" spans="2:2" ht="15">
      <c r="B598" s="181">
        <v>27.294815836698909</v>
      </c>
    </row>
    <row r="599" spans="2:2" ht="15">
      <c r="B599" s="181">
        <v>13.378982855916588</v>
      </c>
    </row>
    <row r="600" spans="2:2" ht="15">
      <c r="B600" s="181">
        <v>25.437662186869119</v>
      </c>
    </row>
    <row r="601" spans="2:2" ht="15">
      <c r="B601" s="181">
        <v>20.921996365211978</v>
      </c>
    </row>
    <row r="602" spans="2:2" ht="15">
      <c r="B602" s="181">
        <v>21.984656487028708</v>
      </c>
    </row>
    <row r="603" spans="2:2" ht="15">
      <c r="B603" s="181">
        <v>6.1851459981389754</v>
      </c>
    </row>
    <row r="604" spans="2:2" ht="15">
      <c r="B604" s="181">
        <v>9.3024122653241594</v>
      </c>
    </row>
    <row r="605" spans="2:2" ht="15">
      <c r="B605" s="181">
        <v>14.946832416786199</v>
      </c>
    </row>
    <row r="606" spans="2:2" ht="15">
      <c r="B606" s="181">
        <v>18.306177268500868</v>
      </c>
    </row>
    <row r="607" spans="2:2" ht="15">
      <c r="B607" s="181">
        <v>17.409402343444082</v>
      </c>
    </row>
    <row r="608" spans="2:2" ht="15">
      <c r="B608" s="181">
        <v>13.668933151614105</v>
      </c>
    </row>
    <row r="609" spans="2:2" ht="15">
      <c r="B609" s="181">
        <v>34.770109319620438</v>
      </c>
    </row>
    <row r="610" spans="2:2" ht="15">
      <c r="B610" s="181">
        <v>33.730645011672756</v>
      </c>
    </row>
    <row r="611" spans="2:2" ht="15">
      <c r="B611" s="181">
        <v>18.162651095725124</v>
      </c>
    </row>
    <row r="612" spans="2:2" ht="15">
      <c r="B612" s="181">
        <v>20.532653726080117</v>
      </c>
    </row>
    <row r="613" spans="2:2" ht="15">
      <c r="B613" s="181">
        <v>21.002135090319435</v>
      </c>
    </row>
    <row r="614" spans="2:2" ht="15">
      <c r="B614" s="181">
        <v>20.651414804064171</v>
      </c>
    </row>
    <row r="615" spans="2:2" ht="15">
      <c r="B615" s="181">
        <v>16.289467850416493</v>
      </c>
    </row>
    <row r="616" spans="2:2" ht="15">
      <c r="B616" s="181">
        <v>6.4049657562694255</v>
      </c>
    </row>
    <row r="617" spans="2:2" ht="15">
      <c r="B617" s="181">
        <v>33.797599186558344</v>
      </c>
    </row>
    <row r="618" spans="2:2" ht="15">
      <c r="B618" s="181">
        <v>12.959973913832799</v>
      </c>
    </row>
    <row r="619" spans="2:2" ht="15">
      <c r="B619" s="181">
        <v>20.831482933947878</v>
      </c>
    </row>
    <row r="620" spans="2:2" ht="15">
      <c r="B620" s="181">
        <v>11.349279315159624</v>
      </c>
    </row>
    <row r="621" spans="2:2" ht="15">
      <c r="B621" s="181">
        <v>13.449745847535313</v>
      </c>
    </row>
    <row r="622" spans="2:2" ht="15">
      <c r="B622" s="181">
        <v>25.250833997245135</v>
      </c>
    </row>
    <row r="623" spans="2:2" ht="15">
      <c r="B623" s="181">
        <v>14.382222613871706</v>
      </c>
    </row>
    <row r="624" spans="2:2" ht="15">
      <c r="B624" s="181">
        <v>9.7129496752292717</v>
      </c>
    </row>
    <row r="625" spans="2:2" ht="15">
      <c r="B625" s="181">
        <v>22.689519015675575</v>
      </c>
    </row>
    <row r="626" spans="2:2" ht="15">
      <c r="B626" s="181">
        <v>41.480583868006995</v>
      </c>
    </row>
    <row r="627" spans="2:2" ht="15">
      <c r="B627" s="181">
        <v>29.924047540227825</v>
      </c>
    </row>
    <row r="628" spans="2:2" ht="15">
      <c r="B628" s="181">
        <v>11.72621340066342</v>
      </c>
    </row>
    <row r="629" spans="2:2" ht="15">
      <c r="B629" s="181">
        <v>7.8841244637081731</v>
      </c>
    </row>
    <row r="630" spans="2:2" ht="15">
      <c r="B630" s="181">
        <v>14.300715223548565</v>
      </c>
    </row>
    <row r="631" spans="2:2" ht="15">
      <c r="B631" s="181">
        <v>23.345440068887026</v>
      </c>
    </row>
    <row r="632" spans="2:2" ht="15">
      <c r="B632" s="181">
        <v>18.978553419382262</v>
      </c>
    </row>
    <row r="633" spans="2:2" ht="15">
      <c r="B633" s="181">
        <v>7.7440002192648789</v>
      </c>
    </row>
    <row r="634" spans="2:2" ht="15">
      <c r="B634" s="181">
        <v>10.084339513454577</v>
      </c>
    </row>
    <row r="635" spans="2:2" ht="15">
      <c r="B635" s="181">
        <v>20.057888007584847</v>
      </c>
    </row>
    <row r="636" spans="2:2" ht="15">
      <c r="B636" s="181">
        <v>7.2095693864284902</v>
      </c>
    </row>
    <row r="637" spans="2:2" ht="15">
      <c r="B637" s="181">
        <v>14.51346440597168</v>
      </c>
    </row>
    <row r="638" spans="2:2" ht="15">
      <c r="B638" s="181">
        <v>21.556944882931059</v>
      </c>
    </row>
    <row r="639" spans="2:2" ht="15">
      <c r="B639" s="181">
        <v>12.441218213004037</v>
      </c>
    </row>
    <row r="640" spans="2:2" ht="15">
      <c r="B640" s="181">
        <v>6.608209477279555</v>
      </c>
    </row>
    <row r="641" spans="2:2" ht="15">
      <c r="B641" s="181">
        <v>16.693588259666672</v>
      </c>
    </row>
    <row r="642" spans="2:2" ht="15">
      <c r="B642" s="181">
        <v>22.833502962784866</v>
      </c>
    </row>
    <row r="643" spans="2:2" ht="15">
      <c r="B643" s="181">
        <v>15.477360074772925</v>
      </c>
    </row>
    <row r="644" spans="2:2" ht="15">
      <c r="B644" s="181">
        <v>63.801016746015236</v>
      </c>
    </row>
    <row r="645" spans="2:2" ht="15">
      <c r="B645" s="181">
        <v>40.499613317549468</v>
      </c>
    </row>
    <row r="646" spans="2:2" ht="15">
      <c r="B646" s="181">
        <v>16.842265164393055</v>
      </c>
    </row>
    <row r="647" spans="2:2" ht="15">
      <c r="B647" s="181">
        <v>23.260794083857412</v>
      </c>
    </row>
    <row r="648" spans="2:2" ht="15">
      <c r="B648" s="181">
        <v>7.994205387470851</v>
      </c>
    </row>
    <row r="649" spans="2:2" ht="15">
      <c r="B649" s="181">
        <v>32.196170027073329</v>
      </c>
    </row>
    <row r="650" spans="2:2" ht="15">
      <c r="B650" s="181">
        <v>18.107764669075483</v>
      </c>
    </row>
    <row r="651" spans="2:2" ht="15">
      <c r="B651" s="181">
        <v>27.269680991882456</v>
      </c>
    </row>
    <row r="652" spans="2:2" ht="15">
      <c r="B652" s="181">
        <v>27.241863288425449</v>
      </c>
    </row>
    <row r="653" spans="2:2" ht="15">
      <c r="B653" s="181">
        <v>19.759052903496219</v>
      </c>
    </row>
    <row r="654" spans="2:2" ht="15">
      <c r="B654" s="181">
        <v>9.2785330926393179</v>
      </c>
    </row>
    <row r="655" spans="2:2" ht="15">
      <c r="B655" s="181">
        <v>25.835425702525239</v>
      </c>
    </row>
    <row r="656" spans="2:2" ht="15">
      <c r="B656" s="181">
        <v>13.304233372952842</v>
      </c>
    </row>
    <row r="657" spans="2:2" ht="15">
      <c r="B657" s="181">
        <v>21.871314953939542</v>
      </c>
    </row>
    <row r="658" spans="2:2" ht="15">
      <c r="B658" s="181">
        <v>7.1756165925942597</v>
      </c>
    </row>
    <row r="659" spans="2:2" ht="15">
      <c r="B659" s="181">
        <v>11.71561651298923</v>
      </c>
    </row>
    <row r="660" spans="2:2" ht="15">
      <c r="B660" s="181">
        <v>21.376212722081345</v>
      </c>
    </row>
    <row r="661" spans="2:2" ht="15">
      <c r="B661" s="181">
        <v>47.634364403090899</v>
      </c>
    </row>
    <row r="662" spans="2:2" ht="15">
      <c r="B662" s="181">
        <v>7.1842368453428112</v>
      </c>
    </row>
    <row r="663" spans="2:2" ht="15">
      <c r="B663" s="181">
        <v>8.1200257962400215</v>
      </c>
    </row>
    <row r="664" spans="2:2" ht="15">
      <c r="B664" s="181">
        <v>18.924367299354429</v>
      </c>
    </row>
    <row r="665" spans="2:2" ht="15">
      <c r="B665" s="181">
        <v>23.568449006133832</v>
      </c>
    </row>
    <row r="666" spans="2:2" ht="15">
      <c r="B666" s="181">
        <v>11.474227223512873</v>
      </c>
    </row>
    <row r="667" spans="2:2" ht="15">
      <c r="B667" s="181">
        <v>36.125309854351734</v>
      </c>
    </row>
    <row r="668" spans="2:2" ht="15">
      <c r="B668" s="181">
        <v>11.179659999358512</v>
      </c>
    </row>
    <row r="669" spans="2:2" ht="15">
      <c r="B669" s="181">
        <v>11.858259380917973</v>
      </c>
    </row>
    <row r="670" spans="2:2" ht="15">
      <c r="B670" s="181">
        <v>7.1100145460579398</v>
      </c>
    </row>
    <row r="671" spans="2:2" ht="15">
      <c r="B671" s="181">
        <v>19.623962360732026</v>
      </c>
    </row>
    <row r="672" spans="2:2" ht="15">
      <c r="B672" s="181">
        <v>12.981027070177086</v>
      </c>
    </row>
    <row r="673" spans="2:2" ht="15">
      <c r="B673" s="181">
        <v>8.2146034112720727</v>
      </c>
    </row>
    <row r="674" spans="2:2" ht="15">
      <c r="B674" s="181">
        <v>22.072400959373898</v>
      </c>
    </row>
    <row r="675" spans="2:2" ht="15">
      <c r="B675" s="181">
        <v>16.128214907663644</v>
      </c>
    </row>
    <row r="676" spans="2:2" ht="15">
      <c r="B676" s="181">
        <v>16.508354840237111</v>
      </c>
    </row>
    <row r="677" spans="2:2" ht="15">
      <c r="B677" s="181">
        <v>29.552567172988947</v>
      </c>
    </row>
    <row r="678" spans="2:2" ht="15">
      <c r="B678" s="181">
        <v>21.592217407775198</v>
      </c>
    </row>
    <row r="679" spans="2:2" ht="15">
      <c r="B679" s="181">
        <v>14.801233495626503</v>
      </c>
    </row>
    <row r="680" spans="2:2" ht="15">
      <c r="B680" s="181">
        <v>24.162301358069939</v>
      </c>
    </row>
    <row r="681" spans="2:2" ht="15">
      <c r="B681" s="181">
        <v>10.905277534658993</v>
      </c>
    </row>
    <row r="682" spans="2:2" ht="15">
      <c r="B682" s="181">
        <v>19.271604585269763</v>
      </c>
    </row>
    <row r="683" spans="2:2" ht="15">
      <c r="B683" s="181">
        <v>20.50334493844181</v>
      </c>
    </row>
    <row r="684" spans="2:2" ht="15">
      <c r="B684" s="181">
        <v>49.148956658361158</v>
      </c>
    </row>
    <row r="685" spans="2:2" ht="15">
      <c r="B685" s="181">
        <v>50.001856606044171</v>
      </c>
    </row>
    <row r="686" spans="2:2" ht="15">
      <c r="B686" s="181">
        <v>14.726996650967996</v>
      </c>
    </row>
    <row r="687" spans="2:2" ht="15">
      <c r="B687" s="181">
        <v>7.3401109030483687</v>
      </c>
    </row>
    <row r="688" spans="2:2" ht="15">
      <c r="B688" s="181">
        <v>8.2507387718444836</v>
      </c>
    </row>
    <row r="689" spans="2:2" ht="15">
      <c r="B689" s="181">
        <v>18.13436195659974</v>
      </c>
    </row>
    <row r="690" spans="2:2" ht="15">
      <c r="B690" s="181">
        <v>18.563872123685037</v>
      </c>
    </row>
    <row r="691" spans="2:2" ht="15">
      <c r="B691" s="181">
        <v>21.901360373023913</v>
      </c>
    </row>
    <row r="692" spans="2:2" ht="15">
      <c r="B692" s="181">
        <v>36.353367263118223</v>
      </c>
    </row>
    <row r="693" spans="2:2" ht="15">
      <c r="B693" s="181">
        <v>29.340070825765928</v>
      </c>
    </row>
    <row r="694" spans="2:2" ht="15">
      <c r="B694" s="181">
        <v>19.42593794408311</v>
      </c>
    </row>
    <row r="695" spans="2:2" ht="15">
      <c r="B695" s="181">
        <v>55.00284526212522</v>
      </c>
    </row>
    <row r="696" spans="2:2" ht="15">
      <c r="B696" s="181">
        <v>17.059881656442215</v>
      </c>
    </row>
    <row r="697" spans="2:2" ht="15">
      <c r="B697" s="181">
        <v>7.1351061594870853</v>
      </c>
    </row>
    <row r="698" spans="2:2" ht="15">
      <c r="B698" s="181">
        <v>23.243992612558305</v>
      </c>
    </row>
    <row r="699" spans="2:2" ht="15">
      <c r="B699" s="181">
        <v>36.332329120381971</v>
      </c>
    </row>
    <row r="700" spans="2:2" ht="15">
      <c r="B700" s="181">
        <v>18.545897782096883</v>
      </c>
    </row>
    <row r="701" spans="2:2" ht="15">
      <c r="B701" s="181">
        <v>22.041692763502727</v>
      </c>
    </row>
    <row r="702" spans="2:2" ht="15">
      <c r="B702" s="181">
        <v>22.273726898487169</v>
      </c>
    </row>
    <row r="703" spans="2:2" ht="15">
      <c r="B703" s="181">
        <v>31.0347021978173</v>
      </c>
    </row>
    <row r="704" spans="2:2" ht="15">
      <c r="B704" s="181">
        <v>20.261090080027603</v>
      </c>
    </row>
    <row r="705" spans="2:2" ht="15">
      <c r="B705" s="181">
        <v>17.320714914498112</v>
      </c>
    </row>
    <row r="706" spans="2:2" ht="15">
      <c r="B706" s="181">
        <v>27.841737825163506</v>
      </c>
    </row>
    <row r="707" spans="2:2" ht="15">
      <c r="B707" s="181">
        <v>16.760819658038969</v>
      </c>
    </row>
    <row r="708" spans="2:2" ht="15">
      <c r="B708" s="181">
        <v>9.7032326312441874</v>
      </c>
    </row>
    <row r="709" spans="2:2" ht="15">
      <c r="B709" s="181">
        <v>12.422577378961343</v>
      </c>
    </row>
    <row r="710" spans="2:2" ht="15">
      <c r="B710" s="181">
        <v>37.203030080998531</v>
      </c>
    </row>
    <row r="711" spans="2:2" ht="15">
      <c r="B711" s="181">
        <v>14.295663967839348</v>
      </c>
    </row>
    <row r="712" spans="2:2" ht="15">
      <c r="B712" s="181">
        <v>5.872926142167664</v>
      </c>
    </row>
    <row r="713" spans="2:2" ht="15">
      <c r="B713" s="181">
        <v>8.9187597818748134</v>
      </c>
    </row>
    <row r="714" spans="2:2" ht="15">
      <c r="B714" s="181">
        <v>14.185280833905095</v>
      </c>
    </row>
    <row r="715" spans="2:2" ht="15">
      <c r="B715" s="181">
        <v>37.991128241047782</v>
      </c>
    </row>
    <row r="716" spans="2:2" ht="15">
      <c r="B716" s="181">
        <v>12.159613460879251</v>
      </c>
    </row>
    <row r="717" spans="2:2" ht="15">
      <c r="B717" s="181">
        <v>20.495658896899272</v>
      </c>
    </row>
    <row r="718" spans="2:2" ht="15">
      <c r="B718" s="181">
        <v>31.147079353514449</v>
      </c>
    </row>
    <row r="719" spans="2:2" ht="15">
      <c r="B719" s="181">
        <v>22.216467796462318</v>
      </c>
    </row>
    <row r="720" spans="2:2" ht="15">
      <c r="B720" s="181">
        <v>21.976961582114505</v>
      </c>
    </row>
    <row r="721" spans="2:2" ht="15">
      <c r="B721" s="181">
        <v>7.9893137567277908</v>
      </c>
    </row>
    <row r="722" spans="2:2" ht="15">
      <c r="B722" s="181">
        <v>15.945542929845221</v>
      </c>
    </row>
    <row r="723" spans="2:2" ht="15">
      <c r="B723" s="181">
        <v>19.385692113758925</v>
      </c>
    </row>
    <row r="724" spans="2:2" ht="15">
      <c r="B724" s="181">
        <v>12.155882395100482</v>
      </c>
    </row>
    <row r="725" spans="2:2" ht="15">
      <c r="B725" s="181">
        <v>15.499316666394346</v>
      </c>
    </row>
    <row r="726" spans="2:2" ht="15">
      <c r="B726" s="181">
        <v>4.7277029394998182</v>
      </c>
    </row>
    <row r="727" spans="2:2" ht="15">
      <c r="B727" s="181">
        <v>7.0881845416403602</v>
      </c>
    </row>
    <row r="728" spans="2:2" ht="15">
      <c r="B728" s="181">
        <v>13.301617883999137</v>
      </c>
    </row>
    <row r="729" spans="2:2" ht="15">
      <c r="B729" s="181">
        <v>18.090927115431715</v>
      </c>
    </row>
    <row r="730" spans="2:2" ht="15">
      <c r="B730" s="181">
        <v>29.704091884781953</v>
      </c>
    </row>
    <row r="731" spans="2:2" ht="15">
      <c r="B731" s="181">
        <v>5.3260173154076655</v>
      </c>
    </row>
    <row r="732" spans="2:2" ht="15">
      <c r="B732" s="181">
        <v>25.974261544359749</v>
      </c>
    </row>
    <row r="733" spans="2:2" ht="15">
      <c r="B733" s="181">
        <v>10.179465835468847</v>
      </c>
    </row>
    <row r="734" spans="2:2" ht="15">
      <c r="B734" s="181">
        <v>24.577372357572663</v>
      </c>
    </row>
    <row r="735" spans="2:2" ht="15">
      <c r="B735" s="181">
        <v>12.347727359546196</v>
      </c>
    </row>
    <row r="736" spans="2:2" ht="15">
      <c r="B736" s="181">
        <v>14.894960046184595</v>
      </c>
    </row>
    <row r="737" spans="2:2" ht="15">
      <c r="B737" s="181">
        <v>14.725762986447565</v>
      </c>
    </row>
    <row r="738" spans="2:2" ht="15">
      <c r="B738" s="181">
        <v>15.999425396996806</v>
      </c>
    </row>
    <row r="739" spans="2:2" ht="15">
      <c r="B739" s="181">
        <v>28.631108774883238</v>
      </c>
    </row>
    <row r="740" spans="2:2" ht="15">
      <c r="B740" s="181">
        <v>35.69590303167498</v>
      </c>
    </row>
    <row r="741" spans="2:2" ht="15">
      <c r="B741" s="181">
        <v>17.261839211603213</v>
      </c>
    </row>
    <row r="742" spans="2:2" ht="15">
      <c r="B742" s="181">
        <v>9.994766254545139</v>
      </c>
    </row>
    <row r="743" spans="2:2" ht="15">
      <c r="B743" s="181">
        <v>24.755682051753126</v>
      </c>
    </row>
    <row r="744" spans="2:2" ht="15">
      <c r="B744" s="181">
        <v>15.810104239731819</v>
      </c>
    </row>
    <row r="745" spans="2:2" ht="15">
      <c r="B745" s="181">
        <v>14.049666971773849</v>
      </c>
    </row>
    <row r="746" spans="2:2" ht="15">
      <c r="B746" s="181">
        <v>17.291384456496527</v>
      </c>
    </row>
    <row r="747" spans="2:2" ht="15">
      <c r="B747" s="181">
        <v>45.111348963113258</v>
      </c>
    </row>
    <row r="748" spans="2:2" ht="15">
      <c r="B748" s="181">
        <v>9.7703034268184812</v>
      </c>
    </row>
    <row r="749" spans="2:2" ht="15">
      <c r="B749" s="181">
        <v>21.792641313062969</v>
      </c>
    </row>
    <row r="750" spans="2:2" ht="15">
      <c r="B750" s="181">
        <v>15.579852278810856</v>
      </c>
    </row>
    <row r="751" spans="2:2" ht="15">
      <c r="B751" s="181">
        <v>11.806771931942926</v>
      </c>
    </row>
    <row r="752" spans="2:2" ht="15">
      <c r="B752" s="181">
        <v>23.072567799809047</v>
      </c>
    </row>
    <row r="753" spans="2:2" ht="15">
      <c r="B753" s="181">
        <v>14.014673770884189</v>
      </c>
    </row>
    <row r="754" spans="2:2" ht="15">
      <c r="B754" s="181">
        <v>17.193461287632591</v>
      </c>
    </row>
    <row r="755" spans="2:2" ht="15">
      <c r="B755" s="181">
        <v>9.7440128446123833</v>
      </c>
    </row>
    <row r="756" spans="2:2" ht="15">
      <c r="B756" s="181">
        <v>10.473019045342495</v>
      </c>
    </row>
    <row r="757" spans="2:2" ht="15">
      <c r="B757" s="181">
        <v>28.534396744655993</v>
      </c>
    </row>
    <row r="758" spans="2:2" ht="15">
      <c r="B758" s="181">
        <v>17.6547828185779</v>
      </c>
    </row>
    <row r="759" spans="2:2" ht="15">
      <c r="B759" s="181">
        <v>8.1826623460534478</v>
      </c>
    </row>
    <row r="760" spans="2:2" ht="15">
      <c r="B760" s="181">
        <v>15.627086315945659</v>
      </c>
    </row>
    <row r="761" spans="2:2" ht="15">
      <c r="B761" s="181">
        <v>17.963199550706094</v>
      </c>
    </row>
    <row r="762" spans="2:2" ht="15">
      <c r="B762" s="181">
        <v>33.689968103635231</v>
      </c>
    </row>
    <row r="763" spans="2:2" ht="15">
      <c r="B763" s="181">
        <v>13.730660576410703</v>
      </c>
    </row>
    <row r="764" spans="2:2" ht="15">
      <c r="B764" s="181">
        <v>17.12826603056827</v>
      </c>
    </row>
    <row r="765" spans="2:2" ht="15">
      <c r="B765" s="181">
        <v>12.477886838791814</v>
      </c>
    </row>
    <row r="766" spans="2:2" ht="15">
      <c r="B766" s="181">
        <v>18.587169534241323</v>
      </c>
    </row>
    <row r="767" spans="2:2" ht="15">
      <c r="B767" s="181">
        <v>11.940436275606158</v>
      </c>
    </row>
    <row r="768" spans="2:2" ht="15">
      <c r="B768" s="181">
        <v>20.363433777920303</v>
      </c>
    </row>
    <row r="769" spans="2:2" ht="15">
      <c r="B769" s="181">
        <v>15.019806108106362</v>
      </c>
    </row>
    <row r="770" spans="2:2" ht="15">
      <c r="B770" s="181">
        <v>13.265902616578398</v>
      </c>
    </row>
    <row r="771" spans="2:2" ht="15">
      <c r="B771" s="181">
        <v>21.175778872263756</v>
      </c>
    </row>
    <row r="772" spans="2:2" ht="15">
      <c r="B772" s="181">
        <v>22.282367681493053</v>
      </c>
    </row>
    <row r="773" spans="2:2" ht="15">
      <c r="B773" s="181">
        <v>16.744887953032805</v>
      </c>
    </row>
    <row r="774" spans="2:2" ht="15">
      <c r="B774" s="181">
        <v>33.066616792359611</v>
      </c>
    </row>
    <row r="775" spans="2:2" ht="15">
      <c r="B775" s="181">
        <v>40.387596170960755</v>
      </c>
    </row>
    <row r="776" spans="2:2" ht="15">
      <c r="B776" s="181">
        <v>17.373851772049587</v>
      </c>
    </row>
    <row r="777" spans="2:2" ht="15">
      <c r="B777" s="181">
        <v>23.034108169412377</v>
      </c>
    </row>
    <row r="778" spans="2:2" ht="15">
      <c r="B778" s="181">
        <v>12.163013487123994</v>
      </c>
    </row>
    <row r="779" spans="2:2" ht="15">
      <c r="B779" s="181">
        <v>31.920746999377261</v>
      </c>
    </row>
    <row r="780" spans="2:2" ht="15">
      <c r="B780" s="181">
        <v>27.022512738203496</v>
      </c>
    </row>
    <row r="781" spans="2:2" ht="15">
      <c r="B781" s="181">
        <v>23.586529696796021</v>
      </c>
    </row>
    <row r="782" spans="2:2" ht="15">
      <c r="B782" s="181">
        <v>12.954380320085559</v>
      </c>
    </row>
    <row r="783" spans="2:2" ht="15">
      <c r="B783" s="181">
        <v>8.1745015834522121</v>
      </c>
    </row>
    <row r="784" spans="2:2" ht="15">
      <c r="B784" s="181">
        <v>11.596020053622977</v>
      </c>
    </row>
    <row r="785" spans="2:2" ht="15">
      <c r="B785" s="181">
        <v>9.3008735535860279</v>
      </c>
    </row>
    <row r="786" spans="2:2" ht="15">
      <c r="B786" s="181">
        <v>16.430321450468391</v>
      </c>
    </row>
    <row r="787" spans="2:2" ht="15">
      <c r="B787" s="181">
        <v>12.546264075411107</v>
      </c>
    </row>
    <row r="788" spans="2:2" ht="15">
      <c r="B788" s="181">
        <v>10.92158174391777</v>
      </c>
    </row>
    <row r="789" spans="2:2" ht="15">
      <c r="B789" s="181">
        <v>25.512286411178415</v>
      </c>
    </row>
    <row r="790" spans="2:2" ht="15">
      <c r="B790" s="181">
        <v>7.3504356290378583</v>
      </c>
    </row>
    <row r="791" spans="2:2" ht="15">
      <c r="B791" s="181">
        <v>13.958931794682975</v>
      </c>
    </row>
    <row r="792" spans="2:2" ht="15">
      <c r="B792" s="181">
        <v>11.205753021933671</v>
      </c>
    </row>
    <row r="793" spans="2:2" ht="15">
      <c r="B793" s="181">
        <v>53.16759318162525</v>
      </c>
    </row>
    <row r="794" spans="2:2" ht="15">
      <c r="B794" s="181">
        <v>9.5616438204691097</v>
      </c>
    </row>
    <row r="795" spans="2:2" ht="15">
      <c r="B795" s="181">
        <v>23.891926162791162</v>
      </c>
    </row>
    <row r="796" spans="2:2" ht="15">
      <c r="B796" s="181">
        <v>29.739376491265006</v>
      </c>
    </row>
    <row r="797" spans="2:2" ht="15">
      <c r="B797" s="181">
        <v>17.368197260732099</v>
      </c>
    </row>
    <row r="798" spans="2:2" ht="15">
      <c r="B798" s="181">
        <v>20.685708988931875</v>
      </c>
    </row>
    <row r="799" spans="2:2" ht="15">
      <c r="B799" s="181">
        <v>6.4279469408832748</v>
      </c>
    </row>
    <row r="800" spans="2:2" ht="15">
      <c r="B800" s="181">
        <v>26.133220306596897</v>
      </c>
    </row>
    <row r="801" spans="2:2" ht="15">
      <c r="B801" s="181">
        <v>7.5915789748188622</v>
      </c>
    </row>
    <row r="802" spans="2:2" ht="15">
      <c r="B802" s="181">
        <v>14.93205514593431</v>
      </c>
    </row>
    <row r="803" spans="2:2" ht="15">
      <c r="B803" s="181">
        <v>32.086383099142125</v>
      </c>
    </row>
    <row r="804" spans="2:2" ht="15">
      <c r="B804" s="181">
        <v>22.365318060193559</v>
      </c>
    </row>
    <row r="805" spans="2:2" ht="15">
      <c r="B805" s="181">
        <v>12.175854688098182</v>
      </c>
    </row>
    <row r="806" spans="2:2" ht="15">
      <c r="B806" s="181">
        <v>11.655064151011995</v>
      </c>
    </row>
    <row r="807" spans="2:2" ht="15">
      <c r="B807" s="181">
        <v>32.839192498093354</v>
      </c>
    </row>
    <row r="808" spans="2:2" ht="15">
      <c r="B808" s="181">
        <v>18.292989174378047</v>
      </c>
    </row>
    <row r="809" spans="2:2" ht="15">
      <c r="B809" s="181">
        <v>26.164570653232271</v>
      </c>
    </row>
    <row r="810" spans="2:2" ht="15">
      <c r="B810" s="181">
        <v>9.0711843237889092</v>
      </c>
    </row>
    <row r="811" spans="2:2" ht="15">
      <c r="B811" s="181">
        <v>13.00114367060217</v>
      </c>
    </row>
    <row r="812" spans="2:2" ht="15">
      <c r="B812" s="181">
        <v>17.776969147586829</v>
      </c>
    </row>
    <row r="813" spans="2:2" ht="15">
      <c r="B813" s="181">
        <v>20.234201367905541</v>
      </c>
    </row>
    <row r="814" spans="2:2" ht="15">
      <c r="B814" s="181">
        <v>19.295536032813676</v>
      </c>
    </row>
    <row r="815" spans="2:2" ht="15">
      <c r="B815" s="181">
        <v>33.290704848933125</v>
      </c>
    </row>
    <row r="816" spans="2:2" ht="15">
      <c r="B816" s="181">
        <v>22.915537725155811</v>
      </c>
    </row>
    <row r="817" spans="2:2" ht="15">
      <c r="B817" s="181">
        <v>7.2259206100627411</v>
      </c>
    </row>
    <row r="818" spans="2:2" ht="15">
      <c r="B818" s="181">
        <v>8.4692865905394701</v>
      </c>
    </row>
    <row r="819" spans="2:2" ht="15">
      <c r="B819" s="181">
        <v>8.2666764125212708</v>
      </c>
    </row>
    <row r="820" spans="2:2" ht="15">
      <c r="B820" s="181">
        <v>6.5032206057707898</v>
      </c>
    </row>
    <row r="821" spans="2:2" ht="15">
      <c r="B821" s="181">
        <v>39.480231561503778</v>
      </c>
    </row>
    <row r="822" spans="2:2" ht="15">
      <c r="B822" s="181">
        <v>20.161137707337485</v>
      </c>
    </row>
    <row r="823" spans="2:2" ht="15">
      <c r="B823" s="181">
        <v>39.283365432821377</v>
      </c>
    </row>
    <row r="824" spans="2:2" ht="15">
      <c r="B824" s="181">
        <v>16.902632056078634</v>
      </c>
    </row>
    <row r="825" spans="2:2" ht="15">
      <c r="B825" s="181">
        <v>13.527461040578045</v>
      </c>
    </row>
    <row r="826" spans="2:2" ht="15">
      <c r="B826" s="181">
        <v>30.663088318168604</v>
      </c>
    </row>
    <row r="827" spans="2:2" ht="15">
      <c r="B827" s="181">
        <v>17.959219065951483</v>
      </c>
    </row>
    <row r="828" spans="2:2" ht="15">
      <c r="B828" s="181">
        <v>20.976221312743974</v>
      </c>
    </row>
    <row r="829" spans="2:2" ht="15">
      <c r="B829" s="181">
        <v>8.7462599786921889</v>
      </c>
    </row>
    <row r="830" spans="2:2" ht="15">
      <c r="B830" s="181">
        <v>23.541165638612085</v>
      </c>
    </row>
    <row r="831" spans="2:2" ht="15">
      <c r="B831" s="181">
        <v>32.71502074740458</v>
      </c>
    </row>
    <row r="832" spans="2:2" ht="15">
      <c r="B832" s="181">
        <v>13.44394658538393</v>
      </c>
    </row>
    <row r="833" spans="2:2" ht="15">
      <c r="B833" s="181">
        <v>40.704847181340405</v>
      </c>
    </row>
    <row r="834" spans="2:2" ht="15">
      <c r="B834" s="181">
        <v>9.5931725321664558</v>
      </c>
    </row>
    <row r="835" spans="2:2" ht="15">
      <c r="B835" s="181">
        <v>8.8770124267493049</v>
      </c>
    </row>
    <row r="836" spans="2:2" ht="15">
      <c r="B836" s="181">
        <v>14.334530771098494</v>
      </c>
    </row>
    <row r="837" spans="2:2" ht="15">
      <c r="B837" s="181">
        <v>12.174461104978617</v>
      </c>
    </row>
    <row r="838" spans="2:2" ht="15">
      <c r="B838" s="181">
        <v>7.7195429802526956</v>
      </c>
    </row>
    <row r="839" spans="2:2" ht="15">
      <c r="B839" s="181">
        <v>17.673176970972179</v>
      </c>
    </row>
    <row r="840" spans="2:2" ht="15">
      <c r="B840" s="181">
        <v>15.991034408066046</v>
      </c>
    </row>
    <row r="841" spans="2:2" ht="15">
      <c r="B841" s="181">
        <v>17.562303144462287</v>
      </c>
    </row>
    <row r="842" spans="2:2" ht="15">
      <c r="B842" s="181">
        <v>10.079570716844279</v>
      </c>
    </row>
    <row r="843" spans="2:2" ht="15">
      <c r="B843" s="181">
        <v>14.885714265333155</v>
      </c>
    </row>
    <row r="844" spans="2:2" ht="15">
      <c r="B844" s="181">
        <v>32.783966394992412</v>
      </c>
    </row>
    <row r="845" spans="2:2" ht="15">
      <c r="B845" s="181">
        <v>10.24136832919225</v>
      </c>
    </row>
    <row r="846" spans="2:2" ht="15">
      <c r="B846" s="181">
        <v>17.195627018597307</v>
      </c>
    </row>
    <row r="847" spans="2:2" ht="15">
      <c r="B847" s="181">
        <v>51.959074378922871</v>
      </c>
    </row>
    <row r="848" spans="2:2" ht="15">
      <c r="B848" s="181">
        <v>6.7646778820766409</v>
      </c>
    </row>
    <row r="849" spans="2:2" ht="15">
      <c r="B849" s="181">
        <v>28.197770130400201</v>
      </c>
    </row>
    <row r="850" spans="2:2" ht="15">
      <c r="B850" s="181">
        <v>30.188122846655116</v>
      </c>
    </row>
    <row r="851" spans="2:2" ht="15">
      <c r="B851" s="181">
        <v>15.649428406769786</v>
      </c>
    </row>
    <row r="852" spans="2:2" ht="15">
      <c r="B852" s="181">
        <v>20.320984096521126</v>
      </c>
    </row>
    <row r="853" spans="2:2" ht="15">
      <c r="B853" s="181">
        <v>41.069576442668058</v>
      </c>
    </row>
    <row r="854" spans="2:2" ht="15">
      <c r="B854" s="181">
        <v>40.021421338649006</v>
      </c>
    </row>
    <row r="855" spans="2:2" ht="15">
      <c r="B855" s="181">
        <v>19.480447189567119</v>
      </c>
    </row>
    <row r="856" spans="2:2" ht="15">
      <c r="B856" s="181">
        <v>39.900773165834302</v>
      </c>
    </row>
    <row r="857" spans="2:2" ht="15">
      <c r="B857" s="181">
        <v>39.332329286627974</v>
      </c>
    </row>
    <row r="858" spans="2:2" ht="15">
      <c r="B858" s="181">
        <v>19.055714367410197</v>
      </c>
    </row>
    <row r="859" spans="2:2" ht="15">
      <c r="B859" s="181">
        <v>19.830026820071534</v>
      </c>
    </row>
    <row r="860" spans="2:2" ht="15">
      <c r="B860" s="181">
        <v>14.946819310094904</v>
      </c>
    </row>
    <row r="861" spans="2:2" ht="15">
      <c r="B861" s="181">
        <v>8.3618881655665618</v>
      </c>
    </row>
    <row r="862" spans="2:2" ht="15">
      <c r="B862" s="181">
        <v>7.7803478565984205</v>
      </c>
    </row>
    <row r="863" spans="2:2" ht="15">
      <c r="B863" s="181">
        <v>25.621462013723747</v>
      </c>
    </row>
    <row r="864" spans="2:2" ht="15">
      <c r="B864" s="181">
        <v>29.89022100005079</v>
      </c>
    </row>
    <row r="865" spans="2:2" ht="15">
      <c r="B865" s="181">
        <v>14.713092173118341</v>
      </c>
    </row>
    <row r="866" spans="2:2" ht="15">
      <c r="B866" s="181">
        <v>5.6172547619126254</v>
      </c>
    </row>
    <row r="867" spans="2:2" ht="15">
      <c r="B867" s="181">
        <v>3.4319175866252825</v>
      </c>
    </row>
    <row r="868" spans="2:2" ht="15">
      <c r="B868" s="181">
        <v>34.829005687369182</v>
      </c>
    </row>
    <row r="869" spans="2:2" ht="15">
      <c r="B869" s="181">
        <v>30.636741942054421</v>
      </c>
    </row>
    <row r="870" spans="2:2" ht="15">
      <c r="B870" s="181">
        <v>14.024237278320856</v>
      </c>
    </row>
    <row r="871" spans="2:2" ht="15">
      <c r="B871" s="181">
        <v>16.405780465684749</v>
      </c>
    </row>
    <row r="872" spans="2:2" ht="15">
      <c r="B872" s="181">
        <v>16.067978781630281</v>
      </c>
    </row>
    <row r="873" spans="2:2" ht="15">
      <c r="B873" s="181">
        <v>8.6344660107581905</v>
      </c>
    </row>
    <row r="874" spans="2:2" ht="15">
      <c r="B874" s="181">
        <v>13.045146401260332</v>
      </c>
    </row>
    <row r="875" spans="2:2" ht="15">
      <c r="B875" s="181">
        <v>23.94414110541689</v>
      </c>
    </row>
    <row r="876" spans="2:2" ht="15">
      <c r="B876" s="181">
        <v>26.545892249373789</v>
      </c>
    </row>
    <row r="877" spans="2:2" ht="15">
      <c r="B877" s="181">
        <v>27.099250593604388</v>
      </c>
    </row>
    <row r="878" spans="2:2" ht="15">
      <c r="B878" s="181">
        <v>43.119306067145764</v>
      </c>
    </row>
    <row r="879" spans="2:2" ht="15">
      <c r="B879" s="181">
        <v>42.092146116187699</v>
      </c>
    </row>
    <row r="880" spans="2:2" ht="15">
      <c r="B880" s="181">
        <v>12.393897178785075</v>
      </c>
    </row>
    <row r="881" spans="2:2" ht="15">
      <c r="B881" s="181">
        <v>14.954995567886586</v>
      </c>
    </row>
    <row r="882" spans="2:2" ht="15">
      <c r="B882" s="181">
        <v>7.8202972950843703</v>
      </c>
    </row>
    <row r="883" spans="2:2" ht="15">
      <c r="B883" s="181">
        <v>28.350850760657671</v>
      </c>
    </row>
    <row r="884" spans="2:2" ht="15">
      <c r="B884" s="181">
        <v>29.882434091179356</v>
      </c>
    </row>
    <row r="885" spans="2:2" ht="15">
      <c r="B885" s="181">
        <v>26.901145507234503</v>
      </c>
    </row>
    <row r="886" spans="2:2" ht="15">
      <c r="B886" s="181">
        <v>11.144143004428374</v>
      </c>
    </row>
    <row r="887" spans="2:2" ht="15">
      <c r="B887" s="181">
        <v>12.434865529458296</v>
      </c>
    </row>
    <row r="888" spans="2:2" ht="15">
      <c r="B888" s="181">
        <v>49.622627570156148</v>
      </c>
    </row>
    <row r="889" spans="2:2" ht="15">
      <c r="B889" s="181">
        <v>11.664376321360784</v>
      </c>
    </row>
    <row r="890" spans="2:2" ht="15">
      <c r="B890" s="181">
        <v>19.701005864483005</v>
      </c>
    </row>
    <row r="891" spans="2:2" ht="15">
      <c r="B891" s="181">
        <v>21.101400594784376</v>
      </c>
    </row>
    <row r="892" spans="2:2" ht="15">
      <c r="B892" s="181">
        <v>28.159708682747194</v>
      </c>
    </row>
    <row r="893" spans="2:2" ht="15">
      <c r="B893" s="181">
        <v>11.121998394980997</v>
      </c>
    </row>
    <row r="894" spans="2:2" ht="15">
      <c r="B894" s="181">
        <v>35.714099493010877</v>
      </c>
    </row>
    <row r="895" spans="2:2" ht="15">
      <c r="B895" s="181">
        <v>36.148698962698425</v>
      </c>
    </row>
    <row r="896" spans="2:2" ht="15">
      <c r="B896" s="181">
        <v>14.579475564563529</v>
      </c>
    </row>
    <row r="897" spans="2:2" ht="15">
      <c r="B897" s="181">
        <v>21.553168717524631</v>
      </c>
    </row>
    <row r="898" spans="2:2" ht="15">
      <c r="B898" s="181">
        <v>13.008684692143381</v>
      </c>
    </row>
    <row r="899" spans="2:2" ht="15">
      <c r="B899" s="181">
        <v>12.531268848757776</v>
      </c>
    </row>
    <row r="900" spans="2:2" ht="15">
      <c r="B900" s="181">
        <v>9.7796722618179448</v>
      </c>
    </row>
    <row r="901" spans="2:2" ht="15">
      <c r="B901" s="181">
        <v>17.756421823060869</v>
      </c>
    </row>
    <row r="902" spans="2:2" ht="15">
      <c r="B902" s="181">
        <v>10.5890205456716</v>
      </c>
    </row>
    <row r="903" spans="2:2" ht="15">
      <c r="B903" s="181">
        <v>9.4866079679356901</v>
      </c>
    </row>
    <row r="904" spans="2:2" ht="15">
      <c r="B904" s="181">
        <v>30.200174170762718</v>
      </c>
    </row>
    <row r="905" spans="2:2" ht="15">
      <c r="B905" s="181">
        <v>18.984367523285044</v>
      </c>
    </row>
    <row r="906" spans="2:2" ht="15">
      <c r="B906" s="181">
        <v>20.331789499079232</v>
      </c>
    </row>
    <row r="907" spans="2:2" ht="15">
      <c r="B907" s="181">
        <v>11.637631107194297</v>
      </c>
    </row>
    <row r="908" spans="2:2" ht="15">
      <c r="B908" s="181">
        <v>25.12102986031999</v>
      </c>
    </row>
    <row r="909" spans="2:2" ht="15">
      <c r="B909" s="181">
        <v>28.180501376821304</v>
      </c>
    </row>
    <row r="910" spans="2:2" ht="15">
      <c r="B910" s="181">
        <v>54.75733785863693</v>
      </c>
    </row>
    <row r="911" spans="2:2" ht="15">
      <c r="B911" s="181">
        <v>24.578589339354636</v>
      </c>
    </row>
    <row r="912" spans="2:2" ht="15">
      <c r="B912" s="181">
        <v>8.7460080610913753</v>
      </c>
    </row>
    <row r="913" spans="2:2" ht="15">
      <c r="B913" s="181">
        <v>9.1155328285541479</v>
      </c>
    </row>
    <row r="914" spans="2:2" ht="15">
      <c r="B914" s="181">
        <v>19.118410837348282</v>
      </c>
    </row>
    <row r="915" spans="2:2" ht="15">
      <c r="B915" s="181">
        <v>9.398739053687299</v>
      </c>
    </row>
    <row r="916" spans="2:2" ht="15">
      <c r="B916" s="181">
        <v>14.346169336177699</v>
      </c>
    </row>
    <row r="917" spans="2:2" ht="15">
      <c r="B917" s="181">
        <v>8.3095691253609285</v>
      </c>
    </row>
    <row r="918" spans="2:2" ht="15">
      <c r="B918" s="181">
        <v>47.852246222934539</v>
      </c>
    </row>
    <row r="919" spans="2:2" ht="15">
      <c r="B919" s="181">
        <v>15.428907248240018</v>
      </c>
    </row>
    <row r="920" spans="2:2" ht="15">
      <c r="B920" s="181">
        <v>41.902967263747001</v>
      </c>
    </row>
    <row r="921" spans="2:2" ht="15">
      <c r="B921" s="181">
        <v>9.9688265935565141</v>
      </c>
    </row>
    <row r="922" spans="2:2" ht="15">
      <c r="B922" s="181">
        <v>8.0719538278237923</v>
      </c>
    </row>
    <row r="923" spans="2:2" ht="15">
      <c r="B923" s="181">
        <v>13.873296198527516</v>
      </c>
    </row>
    <row r="924" spans="2:2" ht="15">
      <c r="B924" s="181">
        <v>13.265049717185358</v>
      </c>
    </row>
    <row r="925" spans="2:2" ht="15">
      <c r="B925" s="181">
        <v>36.629813038517</v>
      </c>
    </row>
    <row r="926" spans="2:2" ht="15">
      <c r="B926" s="181">
        <v>19.508954431529542</v>
      </c>
    </row>
    <row r="927" spans="2:2" ht="15">
      <c r="B927" s="181">
        <v>23.126207795484898</v>
      </c>
    </row>
    <row r="928" spans="2:2" ht="15">
      <c r="B928" s="181">
        <v>8.6767182460770531</v>
      </c>
    </row>
    <row r="929" spans="2:2" ht="15">
      <c r="B929" s="181">
        <v>16.848089077712771</v>
      </c>
    </row>
    <row r="930" spans="2:2" ht="15">
      <c r="B930" s="181">
        <v>33.688422024489682</v>
      </c>
    </row>
    <row r="931" spans="2:2" ht="15">
      <c r="B931" s="181">
        <v>11.061475856222042</v>
      </c>
    </row>
    <row r="932" spans="2:2" ht="15">
      <c r="B932" s="181">
        <v>19.775057560579395</v>
      </c>
    </row>
    <row r="933" spans="2:2" ht="15">
      <c r="B933" s="181">
        <v>13.967100085290813</v>
      </c>
    </row>
    <row r="934" spans="2:2" ht="15">
      <c r="B934" s="181">
        <v>31.182659421050097</v>
      </c>
    </row>
    <row r="935" spans="2:2" ht="15">
      <c r="B935" s="181">
        <v>35.402208447523002</v>
      </c>
    </row>
    <row r="936" spans="2:2" ht="15">
      <c r="B936" s="181">
        <v>11.404168014033132</v>
      </c>
    </row>
    <row r="937" spans="2:2" ht="15">
      <c r="B937" s="181">
        <v>13.469423598381773</v>
      </c>
    </row>
    <row r="938" spans="2:2" ht="15">
      <c r="B938" s="181">
        <v>19.485588099379239</v>
      </c>
    </row>
    <row r="939" spans="2:2" ht="15">
      <c r="B939" s="181">
        <v>10.432364958387472</v>
      </c>
    </row>
    <row r="940" spans="2:2" ht="15">
      <c r="B940" s="181">
        <v>10.777781075523587</v>
      </c>
    </row>
    <row r="941" spans="2:2" ht="15">
      <c r="B941" s="181">
        <v>20.487838830853477</v>
      </c>
    </row>
    <row r="942" spans="2:2" ht="15">
      <c r="B942" s="181">
        <v>29.99265604379168</v>
      </c>
    </row>
    <row r="943" spans="2:2" ht="15">
      <c r="B943" s="181">
        <v>16.804687290178528</v>
      </c>
    </row>
    <row r="944" spans="2:2" ht="15">
      <c r="B944" s="181">
        <v>15.313851098274547</v>
      </c>
    </row>
    <row r="945" spans="2:2" ht="15">
      <c r="B945" s="181">
        <v>27.626954005840709</v>
      </c>
    </row>
    <row r="946" spans="2:2" ht="15">
      <c r="B946" s="181">
        <v>24.694487945466889</v>
      </c>
    </row>
    <row r="947" spans="2:2" ht="15">
      <c r="B947" s="181">
        <v>11.890748207880334</v>
      </c>
    </row>
    <row r="948" spans="2:2" ht="15">
      <c r="B948" s="181">
        <v>25.069416306023893</v>
      </c>
    </row>
    <row r="949" spans="2:2" ht="15">
      <c r="B949" s="181">
        <v>24.840980171465244</v>
      </c>
    </row>
    <row r="950" spans="2:2" ht="15">
      <c r="B950" s="181">
        <v>31.41307032145442</v>
      </c>
    </row>
    <row r="951" spans="2:2" ht="15">
      <c r="B951" s="181">
        <v>29.188501605667543</v>
      </c>
    </row>
    <row r="952" spans="2:2" ht="15">
      <c r="B952" s="181">
        <v>26.075507032342333</v>
      </c>
    </row>
    <row r="953" spans="2:2" ht="15">
      <c r="B953" s="181">
        <v>20.878064475002738</v>
      </c>
    </row>
    <row r="954" spans="2:2" ht="15">
      <c r="B954" s="181">
        <v>22.871413796233313</v>
      </c>
    </row>
    <row r="955" spans="2:2" ht="15">
      <c r="B955" s="181">
        <v>10.063571451920948</v>
      </c>
    </row>
    <row r="956" spans="2:2" ht="15">
      <c r="B956" s="181">
        <v>11.132206095579829</v>
      </c>
    </row>
    <row r="957" spans="2:2" ht="15">
      <c r="B957" s="181">
        <v>9.7822803526425428</v>
      </c>
    </row>
    <row r="958" spans="2:2" ht="15">
      <c r="B958" s="181">
        <v>24.200369643167836</v>
      </c>
    </row>
    <row r="959" spans="2:2" ht="15">
      <c r="B959" s="181">
        <v>17.921127773335392</v>
      </c>
    </row>
    <row r="960" spans="2:2" ht="15">
      <c r="B960" s="181">
        <v>5.4988101776100207</v>
      </c>
    </row>
    <row r="961" spans="2:2" ht="15">
      <c r="B961" s="181">
        <v>15.155235742277107</v>
      </c>
    </row>
    <row r="962" spans="2:2" ht="15">
      <c r="B962" s="181">
        <v>7.3828290449385552</v>
      </c>
    </row>
    <row r="963" spans="2:2" ht="15">
      <c r="B963" s="181">
        <v>11.054562757582469</v>
      </c>
    </row>
    <row r="964" spans="2:2" ht="15">
      <c r="B964" s="181">
        <v>17.96866182135691</v>
      </c>
    </row>
    <row r="965" spans="2:2" ht="15">
      <c r="B965" s="181">
        <v>28.764248515150076</v>
      </c>
    </row>
    <row r="966" spans="2:2" ht="15">
      <c r="B966" s="181">
        <v>27.49677649982301</v>
      </c>
    </row>
    <row r="967" spans="2:2" ht="15">
      <c r="B967" s="181">
        <v>6.3029924329778382</v>
      </c>
    </row>
    <row r="968" spans="2:2" ht="15">
      <c r="B968" s="181">
        <v>9.6653193250728862</v>
      </c>
    </row>
    <row r="969" spans="2:2" ht="15">
      <c r="B969" s="181">
        <v>19.83696196790261</v>
      </c>
    </row>
    <row r="970" spans="2:2" ht="15">
      <c r="B970" s="181">
        <v>17.079180112263177</v>
      </c>
    </row>
    <row r="971" spans="2:2" ht="15">
      <c r="B971" s="181">
        <v>17.235279352013819</v>
      </c>
    </row>
    <row r="972" spans="2:2" ht="15">
      <c r="B972" s="181">
        <v>9.1268598775398733</v>
      </c>
    </row>
    <row r="973" spans="2:2" ht="15">
      <c r="B973" s="181">
        <v>14.280292228500533</v>
      </c>
    </row>
    <row r="974" spans="2:2" ht="15">
      <c r="B974" s="181">
        <v>14.197604474556952</v>
      </c>
    </row>
    <row r="975" spans="2:2" ht="15">
      <c r="B975" s="181">
        <v>17.871547451763245</v>
      </c>
    </row>
    <row r="976" spans="2:2" ht="15">
      <c r="B976" s="181">
        <v>6.1849306316315396</v>
      </c>
    </row>
    <row r="977" spans="2:2" ht="15">
      <c r="B977" s="181">
        <v>47.083753317863248</v>
      </c>
    </row>
    <row r="978" spans="2:2" ht="15">
      <c r="B978" s="181">
        <v>11.715024127864773</v>
      </c>
    </row>
    <row r="979" spans="2:2" ht="15">
      <c r="B979" s="181">
        <v>25.617190402209705</v>
      </c>
    </row>
    <row r="980" spans="2:2" ht="15">
      <c r="B980" s="181">
        <v>37.707534002345433</v>
      </c>
    </row>
    <row r="981" spans="2:2" ht="15">
      <c r="B981" s="181">
        <v>8.8093791076580761</v>
      </c>
    </row>
    <row r="982" spans="2:2" ht="15">
      <c r="B982" s="181">
        <v>11.854628284765813</v>
      </c>
    </row>
    <row r="983" spans="2:2" ht="15">
      <c r="B983" s="181">
        <v>13.147517316404917</v>
      </c>
    </row>
    <row r="984" spans="2:2" ht="15">
      <c r="B984" s="181">
        <v>21.284375658883519</v>
      </c>
    </row>
    <row r="985" spans="2:2" ht="15">
      <c r="B985" s="181">
        <v>14.949982276840572</v>
      </c>
    </row>
    <row r="986" spans="2:2" ht="15">
      <c r="B986" s="181">
        <v>12.591392823446792</v>
      </c>
    </row>
    <row r="987" spans="2:2" ht="15">
      <c r="B987" s="181">
        <v>17.046555211705318</v>
      </c>
    </row>
    <row r="988" spans="2:2" ht="15">
      <c r="B988" s="181">
        <v>20.700378897353644</v>
      </c>
    </row>
    <row r="989" spans="2:2" ht="15">
      <c r="B989" s="181">
        <v>21.256277590585782</v>
      </c>
    </row>
    <row r="990" spans="2:2" ht="15">
      <c r="B990" s="181">
        <v>18.394072611218174</v>
      </c>
    </row>
    <row r="991" spans="2:2" ht="15">
      <c r="B991" s="181">
        <v>38.74312063967308</v>
      </c>
    </row>
    <row r="992" spans="2:2" ht="15">
      <c r="B992" s="181">
        <v>18.949406853877051</v>
      </c>
    </row>
    <row r="993" spans="2:2" ht="15">
      <c r="B993" s="181">
        <v>25.63714221711377</v>
      </c>
    </row>
    <row r="994" spans="2:2" ht="15">
      <c r="B994" s="181">
        <v>7.8422819510566075</v>
      </c>
    </row>
    <row r="995" spans="2:2" ht="15">
      <c r="B995" s="181">
        <v>12.197864874225264</v>
      </c>
    </row>
    <row r="996" spans="2:2" ht="15">
      <c r="B996" s="181">
        <v>9.7645805522935856</v>
      </c>
    </row>
    <row r="997" spans="2:2" ht="15">
      <c r="B997" s="181">
        <v>37.099347653681583</v>
      </c>
    </row>
    <row r="998" spans="2:2" ht="15">
      <c r="B998" s="181">
        <v>34.51314439143141</v>
      </c>
    </row>
    <row r="999" spans="2:2" ht="15">
      <c r="B999" s="181">
        <v>22.894728224466121</v>
      </c>
    </row>
    <row r="1000" spans="2:2" ht="15">
      <c r="B1000" s="181">
        <v>9.3398969521759323</v>
      </c>
    </row>
    <row r="1001" spans="2:2" ht="15">
      <c r="B1001" s="181">
        <v>14.261021520528296</v>
      </c>
    </row>
    <row r="1002" spans="2:2" ht="15">
      <c r="B1002" s="181">
        <v>15.962318749469281</v>
      </c>
    </row>
    <row r="1003" spans="2:2" ht="15">
      <c r="B1003" s="181">
        <v>15.527539101827804</v>
      </c>
    </row>
    <row r="1004" spans="2:2" ht="15">
      <c r="B1004" s="181">
        <v>19.663391164807091</v>
      </c>
    </row>
    <row r="1005" spans="2:2" ht="15">
      <c r="B1005" s="181">
        <v>6.3672473869760484</v>
      </c>
    </row>
    <row r="1006" spans="2:2" ht="15">
      <c r="B1006" s="181">
        <v>14.954063469121728</v>
      </c>
    </row>
    <row r="1007" spans="2:2" ht="15">
      <c r="B1007" s="181">
        <v>20.451190349657129</v>
      </c>
    </row>
    <row r="1008" spans="2:2" ht="15">
      <c r="B1008" s="181">
        <v>8.8262021178431791</v>
      </c>
    </row>
    <row r="1009" spans="2:2" ht="15">
      <c r="B1009" s="181">
        <v>23.328466365276885</v>
      </c>
    </row>
    <row r="1010" spans="2:2" ht="15">
      <c r="B1010" s="181">
        <v>19.845911718386997</v>
      </c>
    </row>
    <row r="1011" spans="2:2" ht="15">
      <c r="B1011" s="181">
        <v>22.986661763259033</v>
      </c>
    </row>
    <row r="1012" spans="2:2" ht="15">
      <c r="B1012" s="181">
        <v>14.114470275625283</v>
      </c>
    </row>
    <row r="1013" spans="2:2" ht="15">
      <c r="B1013" s="181">
        <v>8.6437040972277757</v>
      </c>
    </row>
    <row r="1014" spans="2:2" ht="15">
      <c r="B1014" s="181">
        <v>14.330550442034889</v>
      </c>
    </row>
    <row r="1015" spans="2:2" ht="15">
      <c r="B1015" s="181">
        <v>11.362490656209857</v>
      </c>
    </row>
    <row r="1016" spans="2:2" ht="15">
      <c r="B1016" s="181">
        <v>19.743990952224049</v>
      </c>
    </row>
    <row r="1017" spans="2:2" ht="15">
      <c r="B1017" s="181">
        <v>20.350514061032293</v>
      </c>
    </row>
    <row r="1018" spans="2:2" ht="15">
      <c r="B1018" s="181">
        <v>10.930501778018197</v>
      </c>
    </row>
    <row r="1019" spans="2:2" ht="15">
      <c r="B1019" s="181">
        <v>11.55062366147977</v>
      </c>
    </row>
    <row r="1020" spans="2:2" ht="15">
      <c r="B1020" s="181">
        <v>27.907893023801687</v>
      </c>
    </row>
    <row r="1021" spans="2:2" ht="15">
      <c r="B1021" s="181">
        <v>14.657849199729204</v>
      </c>
    </row>
    <row r="1022" spans="2:2" ht="15">
      <c r="B1022" s="181">
        <v>22.481003383877759</v>
      </c>
    </row>
    <row r="1023" spans="2:2" ht="15">
      <c r="B1023" s="181">
        <v>6.6066043937203522</v>
      </c>
    </row>
    <row r="1024" spans="2:2" ht="15">
      <c r="B1024" s="181">
        <v>26.914410831711944</v>
      </c>
    </row>
    <row r="1025" spans="2:2" ht="15">
      <c r="B1025" s="181">
        <v>28.669030032713113</v>
      </c>
    </row>
    <row r="1026" spans="2:2" ht="15">
      <c r="B1026" s="181">
        <v>26.73373776415637</v>
      </c>
    </row>
    <row r="1027" spans="2:2" ht="15">
      <c r="B1027" s="181">
        <v>5.4752190594844103</v>
      </c>
    </row>
    <row r="1028" spans="2:2" ht="15">
      <c r="B1028" s="181">
        <v>15.221670890868651</v>
      </c>
    </row>
    <row r="1029" spans="2:2" ht="15">
      <c r="B1029" s="181">
        <v>18.98565616368596</v>
      </c>
    </row>
    <row r="1030" spans="2:2" ht="15">
      <c r="B1030" s="181">
        <v>12.377199613553996</v>
      </c>
    </row>
    <row r="1031" spans="2:2" ht="15">
      <c r="B1031" s="181">
        <v>27.33902888395572</v>
      </c>
    </row>
    <row r="1032" spans="2:2" ht="15">
      <c r="B1032" s="181">
        <v>11.511978448743003</v>
      </c>
    </row>
    <row r="1033" spans="2:2" ht="15">
      <c r="B1033" s="181">
        <v>27.974440891054869</v>
      </c>
    </row>
    <row r="1034" spans="2:2" ht="15">
      <c r="B1034" s="181">
        <v>18.223946573295837</v>
      </c>
    </row>
    <row r="1035" spans="2:2" ht="15">
      <c r="B1035" s="181">
        <v>40.934192993972069</v>
      </c>
    </row>
    <row r="1036" spans="2:2" ht="15">
      <c r="B1036" s="181">
        <v>23.100531432012151</v>
      </c>
    </row>
    <row r="1037" spans="2:2" ht="15">
      <c r="B1037" s="181">
        <v>8.3714583713245538</v>
      </c>
    </row>
    <row r="1038" spans="2:2" ht="15">
      <c r="B1038" s="181">
        <v>10.848583286193204</v>
      </c>
    </row>
    <row r="1039" spans="2:2" ht="15">
      <c r="B1039" s="181">
        <v>33.168597725654905</v>
      </c>
    </row>
    <row r="1040" spans="2:2" ht="15">
      <c r="B1040" s="181">
        <v>33.478483834030882</v>
      </c>
    </row>
    <row r="1041" spans="2:2" ht="15">
      <c r="B1041" s="181">
        <v>27.504273590561834</v>
      </c>
    </row>
    <row r="1042" spans="2:2" ht="15">
      <c r="B1042" s="181">
        <v>14.759853384152608</v>
      </c>
    </row>
    <row r="1043" spans="2:2" ht="15">
      <c r="B1043" s="181">
        <v>57.330005936054178</v>
      </c>
    </row>
    <row r="1044" spans="2:2" ht="15">
      <c r="B1044" s="181">
        <v>22.563232327296404</v>
      </c>
    </row>
    <row r="1045" spans="2:2" ht="15">
      <c r="B1045" s="181">
        <v>7.8181996044128033</v>
      </c>
    </row>
    <row r="1046" spans="2:2" ht="15">
      <c r="B1046" s="181">
        <v>23.022136389106524</v>
      </c>
    </row>
    <row r="1047" spans="2:2" ht="15">
      <c r="B1047" s="181">
        <v>23.32887040499406</v>
      </c>
    </row>
    <row r="1048" spans="2:2" ht="15">
      <c r="B1048" s="181">
        <v>7.5142218292490348</v>
      </c>
    </row>
    <row r="1049" spans="2:2" ht="15">
      <c r="B1049" s="181">
        <v>20.290630261575593</v>
      </c>
    </row>
    <row r="1050" spans="2:2" ht="15">
      <c r="B1050" s="181">
        <v>10.168079850496376</v>
      </c>
    </row>
    <row r="1051" spans="2:2" ht="15">
      <c r="B1051" s="181">
        <v>17.771746503433015</v>
      </c>
    </row>
    <row r="1052" spans="2:2" ht="15">
      <c r="B1052" s="181">
        <v>5.9169386317387263</v>
      </c>
    </row>
    <row r="1053" spans="2:2" ht="15">
      <c r="B1053" s="181">
        <v>16.823770291061326</v>
      </c>
    </row>
    <row r="1054" spans="2:2" ht="15">
      <c r="B1054" s="181">
        <v>35.28675265274893</v>
      </c>
    </row>
    <row r="1055" spans="2:2" ht="15">
      <c r="B1055" s="181">
        <v>24.285818684406099</v>
      </c>
    </row>
    <row r="1056" spans="2:2" ht="15">
      <c r="B1056" s="181">
        <v>14.922234815611462</v>
      </c>
    </row>
    <row r="1057" spans="2:2" ht="15">
      <c r="B1057" s="181">
        <v>11.818886454708757</v>
      </c>
    </row>
    <row r="1058" spans="2:2" ht="15">
      <c r="B1058" s="181">
        <v>27.650468742398594</v>
      </c>
    </row>
    <row r="1059" spans="2:2" ht="15">
      <c r="B1059" s="181">
        <v>13.060419064827895</v>
      </c>
    </row>
    <row r="1060" spans="2:2" ht="15">
      <c r="B1060" s="181">
        <v>29.107785442266849</v>
      </c>
    </row>
    <row r="1061" spans="2:2" ht="15">
      <c r="B1061" s="181">
        <v>17.454428667352364</v>
      </c>
    </row>
    <row r="1062" spans="2:2" ht="15">
      <c r="B1062" s="181">
        <v>33.627094709100056</v>
      </c>
    </row>
    <row r="1063" spans="2:2" ht="15">
      <c r="B1063" s="181">
        <v>20.53418307606654</v>
      </c>
    </row>
    <row r="1064" spans="2:2" ht="15">
      <c r="B1064" s="181">
        <v>20.949306640436358</v>
      </c>
    </row>
    <row r="1065" spans="2:2" ht="15">
      <c r="B1065" s="181">
        <v>38.332572792262802</v>
      </c>
    </row>
    <row r="1066" spans="2:2" ht="15">
      <c r="B1066" s="181">
        <v>8.6259464498089997</v>
      </c>
    </row>
    <row r="1067" spans="2:2" ht="15">
      <c r="B1067" s="181">
        <v>15.653186425413036</v>
      </c>
    </row>
    <row r="1068" spans="2:2" ht="15">
      <c r="B1068" s="181">
        <v>14.042307833443603</v>
      </c>
    </row>
    <row r="1069" spans="2:2" ht="15">
      <c r="B1069" s="181">
        <v>12.69279948013375</v>
      </c>
    </row>
    <row r="1070" spans="2:2" ht="15">
      <c r="B1070" s="181">
        <v>20.882968000104952</v>
      </c>
    </row>
    <row r="1071" spans="2:2" ht="15">
      <c r="B1071" s="181">
        <v>14.157586604924477</v>
      </c>
    </row>
    <row r="1072" spans="2:2" ht="15">
      <c r="B1072" s="181">
        <v>18.516908555318839</v>
      </c>
    </row>
    <row r="1073" spans="2:2" ht="15">
      <c r="B1073" s="181">
        <v>9.5018487169696986</v>
      </c>
    </row>
    <row r="1074" spans="2:2" ht="15">
      <c r="B1074" s="181">
        <v>15.305443474732984</v>
      </c>
    </row>
    <row r="1075" spans="2:2" ht="15">
      <c r="B1075" s="181">
        <v>25.819617512626888</v>
      </c>
    </row>
    <row r="1076" spans="2:2" ht="15">
      <c r="B1076" s="181">
        <v>9.8551396620957075</v>
      </c>
    </row>
    <row r="1077" spans="2:2" ht="15">
      <c r="B1077" s="181">
        <v>24.58367377010039</v>
      </c>
    </row>
    <row r="1078" spans="2:2" ht="15">
      <c r="B1078" s="181">
        <v>29.354539246511976</v>
      </c>
    </row>
    <row r="1079" spans="2:2" ht="15">
      <c r="B1079" s="181">
        <v>19.520389307384871</v>
      </c>
    </row>
    <row r="1080" spans="2:2" ht="15">
      <c r="B1080" s="181">
        <v>23.138846883953345</v>
      </c>
    </row>
    <row r="1081" spans="2:2" ht="15">
      <c r="B1081" s="181">
        <v>13.52893676635273</v>
      </c>
    </row>
    <row r="1082" spans="2:2" ht="15">
      <c r="B1082" s="181">
        <v>22.507325994008582</v>
      </c>
    </row>
    <row r="1083" spans="2:2" ht="15">
      <c r="B1083" s="181">
        <v>17.114039826686405</v>
      </c>
    </row>
    <row r="1084" spans="2:2" ht="15">
      <c r="B1084" s="181">
        <v>17.63777219612648</v>
      </c>
    </row>
    <row r="1085" spans="2:2" ht="15">
      <c r="B1085" s="181">
        <v>17.617708143295424</v>
      </c>
    </row>
    <row r="1086" spans="2:2" ht="15">
      <c r="B1086" s="181">
        <v>27.917868072377367</v>
      </c>
    </row>
    <row r="1087" spans="2:2" ht="15">
      <c r="B1087" s="181">
        <v>28.690980031743774</v>
      </c>
    </row>
    <row r="1088" spans="2:2" ht="15">
      <c r="B1088" s="181">
        <v>14.574786555904037</v>
      </c>
    </row>
    <row r="1089" spans="2:2" ht="15">
      <c r="B1089" s="181">
        <v>21.552528654225569</v>
      </c>
    </row>
    <row r="1090" spans="2:2" ht="15">
      <c r="B1090" s="181">
        <v>33.627983070140502</v>
      </c>
    </row>
    <row r="1091" spans="2:2" ht="15">
      <c r="B1091" s="181">
        <v>4.0481627927686743</v>
      </c>
    </row>
    <row r="1092" spans="2:2" ht="15">
      <c r="B1092" s="181">
        <v>12.020916541794326</v>
      </c>
    </row>
    <row r="1093" spans="2:2" ht="15">
      <c r="B1093" s="181">
        <v>29.619177780457768</v>
      </c>
    </row>
    <row r="1094" spans="2:2" ht="15">
      <c r="B1094" s="181">
        <v>13.072606239361733</v>
      </c>
    </row>
    <row r="1095" spans="2:2" ht="15">
      <c r="B1095" s="181">
        <v>28.413090205865057</v>
      </c>
    </row>
    <row r="1096" spans="2:2" ht="15">
      <c r="B1096" s="181">
        <v>17.995724815790975</v>
      </c>
    </row>
    <row r="1097" spans="2:2" ht="15">
      <c r="B1097" s="181">
        <v>12.281794626075701</v>
      </c>
    </row>
    <row r="1098" spans="2:2" ht="15">
      <c r="B1098" s="181">
        <v>10.601296551959067</v>
      </c>
    </row>
    <row r="1099" spans="2:2" ht="15">
      <c r="B1099" s="181">
        <v>12.564487036592467</v>
      </c>
    </row>
    <row r="1100" spans="2:2" ht="15">
      <c r="B1100" s="181">
        <v>43.34085262930374</v>
      </c>
    </row>
    <row r="1101" spans="2:2" ht="15">
      <c r="B1101" s="181">
        <v>12.844600006006184</v>
      </c>
    </row>
    <row r="1102" spans="2:2" ht="15">
      <c r="B1102" s="181">
        <v>7.796519438125646</v>
      </c>
    </row>
    <row r="1103" spans="2:2" ht="15">
      <c r="B1103" s="181">
        <v>13.696580984994046</v>
      </c>
    </row>
    <row r="1104" spans="2:2" ht="15">
      <c r="B1104" s="181">
        <v>54.67756776865275</v>
      </c>
    </row>
    <row r="1105" spans="2:2" ht="15">
      <c r="B1105" s="181">
        <v>17.44382855541544</v>
      </c>
    </row>
    <row r="1106" spans="2:2" ht="15">
      <c r="B1106" s="181">
        <v>19.589690029950148</v>
      </c>
    </row>
    <row r="1107" spans="2:2" ht="15">
      <c r="B1107" s="181">
        <v>26.707178634229997</v>
      </c>
    </row>
    <row r="1108" spans="2:2" ht="15">
      <c r="B1108" s="181">
        <v>45.815618393694265</v>
      </c>
    </row>
    <row r="1109" spans="2:2" ht="15">
      <c r="B1109" s="181">
        <v>27.785043551079326</v>
      </c>
    </row>
    <row r="1110" spans="2:2" ht="15">
      <c r="B1110" s="181">
        <v>8.5524198333350103</v>
      </c>
    </row>
    <row r="1111" spans="2:2" ht="15">
      <c r="B1111" s="181">
        <v>38.315428144080634</v>
      </c>
    </row>
    <row r="1112" spans="2:2" ht="15">
      <c r="B1112" s="181">
        <v>37.928703641503596</v>
      </c>
    </row>
    <row r="1113" spans="2:2" ht="15">
      <c r="B1113" s="181">
        <v>31.631662044416213</v>
      </c>
    </row>
    <row r="1114" spans="2:2" ht="15">
      <c r="B1114" s="181">
        <v>5.3563003727387306</v>
      </c>
    </row>
    <row r="1115" spans="2:2" ht="15">
      <c r="B1115" s="181">
        <v>17.041326920459621</v>
      </c>
    </row>
    <row r="1116" spans="2:2" ht="15">
      <c r="B1116" s="181">
        <v>19.551543271955939</v>
      </c>
    </row>
    <row r="1117" spans="2:2" ht="15">
      <c r="B1117" s="181">
        <v>5.8784818960793306</v>
      </c>
    </row>
    <row r="1118" spans="2:2" ht="15">
      <c r="B1118" s="181">
        <v>68.283111565871678</v>
      </c>
    </row>
    <row r="1119" spans="2:2" ht="15">
      <c r="B1119" s="181">
        <v>18.603067001741831</v>
      </c>
    </row>
    <row r="1120" spans="2:2" ht="15">
      <c r="B1120" s="181">
        <v>9.6149095277454997</v>
      </c>
    </row>
    <row r="1121" spans="2:2" ht="15">
      <c r="B1121" s="181">
        <v>5.9163676056055348</v>
      </c>
    </row>
    <row r="1122" spans="2:2" ht="15">
      <c r="B1122" s="181">
        <v>10.413530549453949</v>
      </c>
    </row>
    <row r="1123" spans="2:2" ht="15">
      <c r="B1123" s="181">
        <v>13.981776742898758</v>
      </c>
    </row>
    <row r="1124" spans="2:2" ht="15">
      <c r="B1124" s="181">
        <v>30.735954917237038</v>
      </c>
    </row>
    <row r="1125" spans="2:2" ht="15">
      <c r="B1125" s="181">
        <v>15.660707928322076</v>
      </c>
    </row>
    <row r="1126" spans="2:2" ht="15">
      <c r="B1126" s="181">
        <v>14.041531918448324</v>
      </c>
    </row>
    <row r="1127" spans="2:2" ht="15">
      <c r="B1127" s="181">
        <v>21.619015591779124</v>
      </c>
    </row>
    <row r="1128" spans="2:2" ht="15">
      <c r="B1128" s="181">
        <v>17.818264298986417</v>
      </c>
    </row>
    <row r="1129" spans="2:2" ht="15">
      <c r="B1129" s="181">
        <v>17.343011463298229</v>
      </c>
    </row>
    <row r="1130" spans="2:2" ht="15">
      <c r="B1130" s="181">
        <v>13.643438366969601</v>
      </c>
    </row>
    <row r="1131" spans="2:2" ht="15">
      <c r="B1131" s="181">
        <v>8.8331584945110837</v>
      </c>
    </row>
    <row r="1132" spans="2:2" ht="15">
      <c r="B1132" s="181">
        <v>10.093139029517904</v>
      </c>
    </row>
    <row r="1133" spans="2:2" ht="15">
      <c r="B1133" s="181">
        <v>17.481790428422141</v>
      </c>
    </row>
    <row r="1134" spans="2:2" ht="15">
      <c r="B1134" s="181">
        <v>14.057843230542687</v>
      </c>
    </row>
    <row r="1135" spans="2:2" ht="15">
      <c r="B1135" s="181">
        <v>34.769535374007361</v>
      </c>
    </row>
    <row r="1136" spans="2:2" ht="15">
      <c r="B1136" s="181">
        <v>14.694923639125085</v>
      </c>
    </row>
    <row r="1137" spans="2:2" ht="15">
      <c r="B1137" s="181">
        <v>12.488578184488846</v>
      </c>
    </row>
    <row r="1138" spans="2:2" ht="15">
      <c r="B1138" s="181">
        <v>21.560267560149409</v>
      </c>
    </row>
    <row r="1139" spans="2:2" ht="15">
      <c r="B1139" s="181">
        <v>23.45187863654068</v>
      </c>
    </row>
    <row r="1140" spans="2:2" ht="15">
      <c r="B1140" s="181">
        <v>9.5706822785895262</v>
      </c>
    </row>
    <row r="1141" spans="2:2" ht="15">
      <c r="B1141" s="181">
        <v>13.370196406509731</v>
      </c>
    </row>
    <row r="1142" spans="2:2" ht="15">
      <c r="B1142" s="181">
        <v>27.378124610133369</v>
      </c>
    </row>
    <row r="1143" spans="2:2" ht="15">
      <c r="B1143" s="181">
        <v>16.783887717149728</v>
      </c>
    </row>
    <row r="1144" spans="2:2" ht="15">
      <c r="B1144" s="181">
        <v>5.4806109804134353</v>
      </c>
    </row>
    <row r="1145" spans="2:2" ht="15">
      <c r="B1145" s="181">
        <v>11.51588483137807</v>
      </c>
    </row>
    <row r="1146" spans="2:2" ht="15">
      <c r="B1146" s="181">
        <v>39.853608841593633</v>
      </c>
    </row>
    <row r="1147" spans="2:2" ht="15">
      <c r="B1147" s="181">
        <v>23.258992473473857</v>
      </c>
    </row>
    <row r="1148" spans="2:2" ht="15">
      <c r="B1148" s="181">
        <v>24.119195855264834</v>
      </c>
    </row>
    <row r="1149" spans="2:2" ht="15">
      <c r="B1149" s="181">
        <v>23.648530236587035</v>
      </c>
    </row>
    <row r="1150" spans="2:2" ht="15">
      <c r="B1150" s="181">
        <v>14.8125859928134</v>
      </c>
    </row>
    <row r="1151" spans="2:2" ht="15">
      <c r="B1151" s="181">
        <v>29.590415385878647</v>
      </c>
    </row>
    <row r="1152" spans="2:2" ht="15">
      <c r="B1152" s="181">
        <v>21.478044762556667</v>
      </c>
    </row>
    <row r="1153" spans="2:2" ht="15">
      <c r="B1153" s="181">
        <v>17.453274748436765</v>
      </c>
    </row>
    <row r="1154" spans="2:2" ht="15">
      <c r="B1154" s="181">
        <v>19.821976571497594</v>
      </c>
    </row>
    <row r="1155" spans="2:2" ht="15">
      <c r="B1155" s="181">
        <v>13.838706893078744</v>
      </c>
    </row>
    <row r="1156" spans="2:2" ht="15">
      <c r="B1156" s="181">
        <v>20.577864090070705</v>
      </c>
    </row>
    <row r="1157" spans="2:2" ht="15">
      <c r="B1157" s="181">
        <v>9.4837957722259141</v>
      </c>
    </row>
    <row r="1158" spans="2:2" ht="15">
      <c r="B1158" s="181">
        <v>19.350081440829072</v>
      </c>
    </row>
    <row r="1159" spans="2:2" ht="15">
      <c r="B1159" s="181">
        <v>14.137171452513066</v>
      </c>
    </row>
    <row r="1160" spans="2:2" ht="15">
      <c r="B1160" s="181">
        <v>14.711339678477536</v>
      </c>
    </row>
    <row r="1161" spans="2:2" ht="15">
      <c r="B1161" s="181">
        <v>16.859778298815325</v>
      </c>
    </row>
    <row r="1162" spans="2:2" ht="15">
      <c r="B1162" s="181">
        <v>26.578590763908998</v>
      </c>
    </row>
    <row r="1163" spans="2:2" ht="15">
      <c r="B1163" s="181">
        <v>23.624764568744165</v>
      </c>
    </row>
    <row r="1164" spans="2:2" ht="15">
      <c r="B1164" s="181">
        <v>18.044286403852769</v>
      </c>
    </row>
    <row r="1165" spans="2:2" ht="15">
      <c r="B1165" s="181">
        <v>17.701350818901695</v>
      </c>
    </row>
    <row r="1166" spans="2:2" ht="15">
      <c r="B1166" s="181">
        <v>15.429068570706738</v>
      </c>
    </row>
    <row r="1167" spans="2:2" ht="15">
      <c r="B1167" s="181">
        <v>29.11917191762717</v>
      </c>
    </row>
    <row r="1168" spans="2:2" ht="15">
      <c r="B1168" s="181">
        <v>35.703052456856646</v>
      </c>
    </row>
    <row r="1169" spans="2:2" ht="15">
      <c r="B1169" s="181">
        <v>23.996800274358417</v>
      </c>
    </row>
    <row r="1170" spans="2:2" ht="15">
      <c r="B1170" s="181">
        <v>14.332235621763544</v>
      </c>
    </row>
    <row r="1171" spans="2:2" ht="15">
      <c r="B1171" s="181">
        <v>26.384316292050052</v>
      </c>
    </row>
    <row r="1172" spans="2:2" ht="15">
      <c r="B1172" s="181">
        <v>39.851507415265381</v>
      </c>
    </row>
    <row r="1173" spans="2:2" ht="15">
      <c r="B1173" s="181">
        <v>16.307753744186069</v>
      </c>
    </row>
    <row r="1174" spans="2:2" ht="15">
      <c r="B1174" s="181">
        <v>41.164667297232789</v>
      </c>
    </row>
    <row r="1175" spans="2:2" ht="15">
      <c r="B1175" s="181">
        <v>36.64798724529161</v>
      </c>
    </row>
    <row r="1176" spans="2:2" ht="15">
      <c r="B1176" s="181">
        <v>16.287323738490411</v>
      </c>
    </row>
    <row r="1177" spans="2:2" ht="15">
      <c r="B1177" s="181">
        <v>11.658139839719034</v>
      </c>
    </row>
    <row r="1178" spans="2:2" ht="15">
      <c r="B1178" s="181">
        <v>8.6071934961103942</v>
      </c>
    </row>
    <row r="1179" spans="2:2" ht="15">
      <c r="B1179" s="181">
        <v>11.4372182607166</v>
      </c>
    </row>
    <row r="1180" spans="2:2" ht="15">
      <c r="B1180" s="181">
        <v>8.6659117895599476</v>
      </c>
    </row>
    <row r="1181" spans="2:2" ht="15">
      <c r="B1181" s="181">
        <v>37.847075709366564</v>
      </c>
    </row>
    <row r="1182" spans="2:2" ht="15">
      <c r="B1182" s="181">
        <v>10.989403077670659</v>
      </c>
    </row>
    <row r="1183" spans="2:2" ht="15">
      <c r="B1183" s="181">
        <v>16.362143271616315</v>
      </c>
    </row>
    <row r="1184" spans="2:2" ht="15">
      <c r="B1184" s="181">
        <v>12.440259409103916</v>
      </c>
    </row>
    <row r="1185" spans="2:2" ht="15">
      <c r="B1185" s="181">
        <v>8.3978845613509865</v>
      </c>
    </row>
    <row r="1186" spans="2:2" ht="15">
      <c r="B1186" s="181">
        <v>10.850256968155918</v>
      </c>
    </row>
    <row r="1187" spans="2:2" ht="15">
      <c r="B1187" s="181">
        <v>25.882523909985522</v>
      </c>
    </row>
    <row r="1188" spans="2:2" ht="15">
      <c r="B1188" s="181">
        <v>8.9713654460132553</v>
      </c>
    </row>
    <row r="1189" spans="2:2" ht="15">
      <c r="B1189" s="181">
        <v>7.90274292734928</v>
      </c>
    </row>
    <row r="1190" spans="2:2" ht="15">
      <c r="B1190" s="181">
        <v>36.847859921787233</v>
      </c>
    </row>
    <row r="1191" spans="2:2" ht="15">
      <c r="B1191" s="181">
        <v>25.654720870235824</v>
      </c>
    </row>
    <row r="1192" spans="2:2" ht="15">
      <c r="B1192" s="181">
        <v>11.922991752049398</v>
      </c>
    </row>
    <row r="1193" spans="2:2" ht="15">
      <c r="B1193" s="181">
        <v>37.585829393914736</v>
      </c>
    </row>
    <row r="1194" spans="2:2" ht="15">
      <c r="B1194" s="181">
        <v>14.010922142143482</v>
      </c>
    </row>
    <row r="1195" spans="2:2" ht="15">
      <c r="B1195" s="181">
        <v>9.510609966043404</v>
      </c>
    </row>
    <row r="1196" spans="2:2" ht="15">
      <c r="B1196" s="181">
        <v>8.6302978209289787</v>
      </c>
    </row>
    <row r="1197" spans="2:2" ht="15">
      <c r="B1197" s="181">
        <v>19.214725943259882</v>
      </c>
    </row>
    <row r="1198" spans="2:2" ht="15">
      <c r="B1198" s="181">
        <v>18.85945871846053</v>
      </c>
    </row>
    <row r="1199" spans="2:2" ht="15">
      <c r="B1199" s="181">
        <v>10.379180443201884</v>
      </c>
    </row>
    <row r="1200" spans="2:2" ht="15">
      <c r="B1200" s="181">
        <v>41.344673483902866</v>
      </c>
    </row>
    <row r="1201" spans="2:2" ht="15">
      <c r="B1201" s="181">
        <v>28.181348602506247</v>
      </c>
    </row>
    <row r="1202" spans="2:2" ht="15">
      <c r="B1202" s="181">
        <v>22.202756255504084</v>
      </c>
    </row>
    <row r="1203" spans="2:2" ht="15">
      <c r="B1203" s="181">
        <v>40.783150884288013</v>
      </c>
    </row>
    <row r="1204" spans="2:2" ht="15">
      <c r="B1204" s="181">
        <v>18.599626831172927</v>
      </c>
    </row>
    <row r="1205" spans="2:2" ht="15">
      <c r="B1205" s="181">
        <v>43.700985319095352</v>
      </c>
    </row>
    <row r="1206" spans="2:2" ht="15">
      <c r="B1206" s="181">
        <v>27.889390030637731</v>
      </c>
    </row>
    <row r="1207" spans="2:2" ht="15">
      <c r="B1207" s="181">
        <v>21.931249625073598</v>
      </c>
    </row>
    <row r="1208" spans="2:2" ht="15">
      <c r="B1208" s="181">
        <v>29.706432213627647</v>
      </c>
    </row>
    <row r="1209" spans="2:2" ht="15">
      <c r="B1209" s="181">
        <v>17.762639181023136</v>
      </c>
    </row>
    <row r="1210" spans="2:2" ht="15">
      <c r="B1210" s="181">
        <v>7.2498051057571331</v>
      </c>
    </row>
    <row r="1211" spans="2:2" ht="15">
      <c r="B1211" s="181">
        <v>14.312842254610842</v>
      </c>
    </row>
    <row r="1212" spans="2:2" ht="15">
      <c r="B1212" s="181">
        <v>28.447003584784223</v>
      </c>
    </row>
    <row r="1213" spans="2:2" ht="15">
      <c r="B1213" s="181">
        <v>20.239619075644363</v>
      </c>
    </row>
    <row r="1214" spans="2:2" ht="15">
      <c r="B1214" s="181">
        <v>14.638495980273044</v>
      </c>
    </row>
    <row r="1215" spans="2:2" ht="15">
      <c r="B1215" s="181">
        <v>12.18712875312298</v>
      </c>
    </row>
    <row r="1216" spans="2:2" ht="15">
      <c r="B1216" s="181">
        <v>28.611168743375938</v>
      </c>
    </row>
    <row r="1217" spans="2:2" ht="15">
      <c r="B1217" s="181">
        <v>19.12957778272283</v>
      </c>
    </row>
    <row r="1218" spans="2:2" ht="15">
      <c r="B1218" s="181">
        <v>19.632380069055763</v>
      </c>
    </row>
    <row r="1219" spans="2:2" ht="15">
      <c r="B1219" s="181">
        <v>18.29515587461897</v>
      </c>
    </row>
    <row r="1220" spans="2:2" ht="15">
      <c r="B1220" s="181">
        <v>13.40184218269698</v>
      </c>
    </row>
    <row r="1221" spans="2:2" ht="15">
      <c r="B1221" s="181">
        <v>14.805192725986199</v>
      </c>
    </row>
    <row r="1222" spans="2:2" ht="15">
      <c r="B1222" s="181">
        <v>8.633786269477973</v>
      </c>
    </row>
    <row r="1223" spans="2:2" ht="15">
      <c r="B1223" s="181">
        <v>27.118733890328762</v>
      </c>
    </row>
    <row r="1224" spans="2:2" ht="15">
      <c r="B1224" s="181">
        <v>12.18859020094922</v>
      </c>
    </row>
    <row r="1225" spans="2:2" ht="15">
      <c r="B1225" s="181">
        <v>4.4824198836199933</v>
      </c>
    </row>
    <row r="1226" spans="2:2" ht="15">
      <c r="B1226" s="181">
        <v>15.096994441187734</v>
      </c>
    </row>
    <row r="1227" spans="2:2" ht="15">
      <c r="B1227" s="181">
        <v>27.085023266421572</v>
      </c>
    </row>
    <row r="1228" spans="2:2" ht="15">
      <c r="B1228" s="181">
        <v>31.994811273278277</v>
      </c>
    </row>
    <row r="1229" spans="2:2" ht="15">
      <c r="B1229" s="181">
        <v>19.26612561078651</v>
      </c>
    </row>
    <row r="1230" spans="2:2" ht="15">
      <c r="B1230" s="181">
        <v>23.290668505523385</v>
      </c>
    </row>
    <row r="1231" spans="2:2" ht="15">
      <c r="B1231" s="181">
        <v>9.4849994000197011</v>
      </c>
    </row>
    <row r="1232" spans="2:2" ht="15">
      <c r="B1232" s="181">
        <v>12.011024326153459</v>
      </c>
    </row>
    <row r="1233" spans="2:2" ht="15">
      <c r="B1233" s="181">
        <v>12.12422320755136</v>
      </c>
    </row>
    <row r="1234" spans="2:2" ht="15">
      <c r="B1234" s="181">
        <v>14.633254695553529</v>
      </c>
    </row>
    <row r="1235" spans="2:2" ht="15">
      <c r="B1235" s="181">
        <v>15.497981892570046</v>
      </c>
    </row>
    <row r="1236" spans="2:2" ht="15">
      <c r="B1236" s="181">
        <v>9.0034076945763548</v>
      </c>
    </row>
    <row r="1237" spans="2:2" ht="15">
      <c r="B1237" s="181">
        <v>15.983999841214139</v>
      </c>
    </row>
    <row r="1238" spans="2:2" ht="15">
      <c r="B1238" s="181">
        <v>33.158778957724365</v>
      </c>
    </row>
    <row r="1239" spans="2:2" ht="15">
      <c r="B1239" s="181">
        <v>19.048421476537861</v>
      </c>
    </row>
    <row r="1240" spans="2:2" ht="15">
      <c r="B1240" s="181">
        <v>33.395157124122171</v>
      </c>
    </row>
    <row r="1241" spans="2:2" ht="15">
      <c r="B1241" s="181">
        <v>47.738961870374268</v>
      </c>
    </row>
    <row r="1242" spans="2:2" ht="15">
      <c r="B1242" s="181">
        <v>15.719227572357681</v>
      </c>
    </row>
    <row r="1243" spans="2:2" ht="15">
      <c r="B1243" s="181">
        <v>19.038846919792928</v>
      </c>
    </row>
    <row r="1244" spans="2:2" ht="15">
      <c r="B1244" s="181">
        <v>8.3817034657772052</v>
      </c>
    </row>
    <row r="1245" spans="2:2" ht="15">
      <c r="B1245" s="181">
        <v>12.803854477139824</v>
      </c>
    </row>
    <row r="1246" spans="2:2" ht="15">
      <c r="B1246" s="181">
        <v>11.50462839696911</v>
      </c>
    </row>
    <row r="1247" spans="2:2" ht="15">
      <c r="B1247" s="181">
        <v>13.227509308709704</v>
      </c>
    </row>
    <row r="1248" spans="2:2" ht="15">
      <c r="B1248" s="181">
        <v>14.234258521372311</v>
      </c>
    </row>
    <row r="1249" spans="2:2" ht="15">
      <c r="B1249" s="181">
        <v>6.8942471032514669</v>
      </c>
    </row>
    <row r="1250" spans="2:2" ht="15">
      <c r="B1250" s="181">
        <v>20.830071398149659</v>
      </c>
    </row>
    <row r="1251" spans="2:2" ht="15">
      <c r="B1251" s="181">
        <v>12.964524545611871</v>
      </c>
    </row>
    <row r="1252" spans="2:2" ht="15">
      <c r="B1252" s="181">
        <v>14.437207915344272</v>
      </c>
    </row>
    <row r="1253" spans="2:2" ht="15">
      <c r="B1253" s="181">
        <v>12.07246381049649</v>
      </c>
    </row>
    <row r="1254" spans="2:2" ht="15">
      <c r="B1254" s="181">
        <v>51.47060149245597</v>
      </c>
    </row>
    <row r="1255" spans="2:2" ht="15">
      <c r="B1255" s="181">
        <v>57.333458702649132</v>
      </c>
    </row>
    <row r="1256" spans="2:2" ht="15">
      <c r="B1256" s="181">
        <v>24.661464422152218</v>
      </c>
    </row>
    <row r="1257" spans="2:2" ht="15">
      <c r="B1257" s="181">
        <v>20.460791264612027</v>
      </c>
    </row>
    <row r="1258" spans="2:2" ht="15">
      <c r="B1258" s="181">
        <v>23.188315000521985</v>
      </c>
    </row>
    <row r="1259" spans="2:2" ht="15">
      <c r="B1259" s="181">
        <v>30.602776662811696</v>
      </c>
    </row>
    <row r="1260" spans="2:2" ht="15">
      <c r="B1260" s="181">
        <v>16.982419667184335</v>
      </c>
    </row>
    <row r="1261" spans="2:2" ht="15">
      <c r="B1261" s="181">
        <v>28.645684194009444</v>
      </c>
    </row>
    <row r="1262" spans="2:2" ht="15">
      <c r="B1262" s="181">
        <v>33.436566164970841</v>
      </c>
    </row>
    <row r="1263" spans="2:2" ht="15">
      <c r="B1263" s="181">
        <v>31.513488142323844</v>
      </c>
    </row>
    <row r="1264" spans="2:2" ht="15">
      <c r="B1264" s="181">
        <v>27.540265806255235</v>
      </c>
    </row>
    <row r="1265" spans="2:2" ht="15">
      <c r="B1265" s="181">
        <v>6.1849546676724358</v>
      </c>
    </row>
    <row r="1266" spans="2:2" ht="15">
      <c r="B1266" s="181">
        <v>4.1471207730215127</v>
      </c>
    </row>
    <row r="1267" spans="2:2" ht="15">
      <c r="B1267" s="181">
        <v>34.445113533222376</v>
      </c>
    </row>
    <row r="1268" spans="2:2" ht="15">
      <c r="B1268" s="181">
        <v>18.664494316687044</v>
      </c>
    </row>
    <row r="1269" spans="2:2" ht="15">
      <c r="B1269" s="181">
        <v>12.587970291123074</v>
      </c>
    </row>
    <row r="1270" spans="2:2" ht="15">
      <c r="B1270" s="181">
        <v>30.108781087831616</v>
      </c>
    </row>
    <row r="1271" spans="2:2" ht="15">
      <c r="B1271" s="181">
        <v>29.681789706751555</v>
      </c>
    </row>
    <row r="1272" spans="2:2" ht="15">
      <c r="B1272" s="181">
        <v>10.16044115849134</v>
      </c>
    </row>
    <row r="1273" spans="2:2" ht="15">
      <c r="B1273" s="181">
        <v>12.264721620494436</v>
      </c>
    </row>
    <row r="1274" spans="2:2" ht="15">
      <c r="B1274" s="181">
        <v>19.519063446455622</v>
      </c>
    </row>
    <row r="1275" spans="2:2" ht="15">
      <c r="B1275" s="181">
        <v>36.764804649976874</v>
      </c>
    </row>
    <row r="1276" spans="2:2" ht="15">
      <c r="B1276" s="181">
        <v>26.404714867786904</v>
      </c>
    </row>
    <row r="1277" spans="2:2" ht="15">
      <c r="B1277" s="181">
        <v>23.210067980308747</v>
      </c>
    </row>
    <row r="1278" spans="2:2" ht="15">
      <c r="B1278" s="181">
        <v>28.299499447870932</v>
      </c>
    </row>
    <row r="1279" spans="2:2" ht="15">
      <c r="B1279" s="181">
        <v>41.509029665161286</v>
      </c>
    </row>
    <row r="1280" spans="2:2" ht="15">
      <c r="B1280" s="181">
        <v>27.169564990167803</v>
      </c>
    </row>
    <row r="1281" spans="2:2" ht="15">
      <c r="B1281" s="181">
        <v>24.053541336213673</v>
      </c>
    </row>
    <row r="1282" spans="2:2" ht="15">
      <c r="B1282" s="181">
        <v>14.642035901818632</v>
      </c>
    </row>
    <row r="1283" spans="2:2" ht="15">
      <c r="B1283" s="181">
        <v>14.120175104849919</v>
      </c>
    </row>
    <row r="1284" spans="2:2" ht="15">
      <c r="B1284" s="181">
        <v>13.449028765716935</v>
      </c>
    </row>
    <row r="1285" spans="2:2" ht="15">
      <c r="B1285" s="181">
        <v>11.510735441689659</v>
      </c>
    </row>
    <row r="1286" spans="2:2" ht="15">
      <c r="B1286" s="181">
        <v>13.73178718100143</v>
      </c>
    </row>
    <row r="1287" spans="2:2" ht="15">
      <c r="B1287" s="181">
        <v>26.242710424220235</v>
      </c>
    </row>
    <row r="1288" spans="2:2" ht="15">
      <c r="B1288" s="181">
        <v>30.678004070809415</v>
      </c>
    </row>
    <row r="1289" spans="2:2" ht="15">
      <c r="B1289" s="181">
        <v>8.6202767186018665</v>
      </c>
    </row>
    <row r="1290" spans="2:2" ht="15">
      <c r="B1290" s="181">
        <v>14.317480623005432</v>
      </c>
    </row>
    <row r="1291" spans="2:2" ht="15">
      <c r="B1291" s="181">
        <v>27.695755251062003</v>
      </c>
    </row>
    <row r="1292" spans="2:2" ht="15">
      <c r="B1292" s="181">
        <v>20.256054982164283</v>
      </c>
    </row>
    <row r="1293" spans="2:2" ht="15">
      <c r="B1293" s="181">
        <v>31.831162902977017</v>
      </c>
    </row>
    <row r="1294" spans="2:2" ht="15">
      <c r="B1294" s="181">
        <v>10.340370596136646</v>
      </c>
    </row>
    <row r="1295" spans="2:2" ht="15">
      <c r="B1295" s="181">
        <v>50.872490255390169</v>
      </c>
    </row>
    <row r="1296" spans="2:2" ht="15">
      <c r="B1296" s="181">
        <v>21.484757592712615</v>
      </c>
    </row>
    <row r="1297" spans="2:2" ht="15">
      <c r="B1297" s="181">
        <v>12.036341735322539</v>
      </c>
    </row>
    <row r="1298" spans="2:2" ht="15">
      <c r="B1298" s="181">
        <v>17.791440330270337</v>
      </c>
    </row>
    <row r="1299" spans="2:2" ht="15">
      <c r="B1299" s="181">
        <v>8.9302332066574301</v>
      </c>
    </row>
    <row r="1300" spans="2:2" ht="15">
      <c r="B1300" s="181">
        <v>35.314156824859793</v>
      </c>
    </row>
    <row r="1301" spans="2:2" ht="15">
      <c r="B1301" s="181">
        <v>19.020728125621442</v>
      </c>
    </row>
    <row r="1302" spans="2:2" ht="15">
      <c r="B1302" s="181">
        <v>16.55702645346005</v>
      </c>
    </row>
    <row r="1303" spans="2:2" ht="15">
      <c r="B1303" s="181">
        <v>37.506609889137209</v>
      </c>
    </row>
    <row r="1304" spans="2:2" ht="15">
      <c r="B1304" s="181">
        <v>17.985768651056805</v>
      </c>
    </row>
    <row r="1305" spans="2:2" ht="15">
      <c r="B1305" s="181">
        <v>41.334823349210183</v>
      </c>
    </row>
    <row r="1306" spans="2:2" ht="15">
      <c r="B1306" s="181">
        <v>7.850452332210585</v>
      </c>
    </row>
    <row r="1307" spans="2:2" ht="15">
      <c r="B1307" s="181">
        <v>21.760933331056062</v>
      </c>
    </row>
    <row r="1308" spans="2:2" ht="15">
      <c r="B1308" s="181">
        <v>19.014663380759966</v>
      </c>
    </row>
    <row r="1309" spans="2:2" ht="15">
      <c r="B1309" s="181">
        <v>22.574367660709004</v>
      </c>
    </row>
    <row r="1310" spans="2:2" ht="15">
      <c r="B1310" s="181">
        <v>10.403140318502285</v>
      </c>
    </row>
    <row r="1311" spans="2:2" ht="15">
      <c r="B1311" s="181">
        <v>14.269048777746836</v>
      </c>
    </row>
    <row r="1312" spans="2:2" ht="15">
      <c r="B1312" s="181">
        <v>20.870245361481754</v>
      </c>
    </row>
    <row r="1313" spans="2:2" ht="15">
      <c r="B1313" s="181">
        <v>20.972324096521</v>
      </c>
    </row>
    <row r="1314" spans="2:2" ht="15">
      <c r="B1314" s="181">
        <v>11.665482967865897</v>
      </c>
    </row>
    <row r="1315" spans="2:2" ht="15">
      <c r="B1315" s="181">
        <v>10.593816740466481</v>
      </c>
    </row>
    <row r="1316" spans="2:2" ht="15">
      <c r="B1316" s="181">
        <v>28.21138279006006</v>
      </c>
    </row>
    <row r="1317" spans="2:2" ht="15">
      <c r="B1317" s="181">
        <v>7.5192458792368138</v>
      </c>
    </row>
    <row r="1318" spans="2:2" ht="15">
      <c r="B1318" s="181">
        <v>12.686628413082234</v>
      </c>
    </row>
    <row r="1319" spans="2:2" ht="15">
      <c r="B1319" s="181">
        <v>20.405718554712671</v>
      </c>
    </row>
    <row r="1320" spans="2:2" ht="15">
      <c r="B1320" s="181">
        <v>30.744300890685754</v>
      </c>
    </row>
    <row r="1321" spans="2:2" ht="15">
      <c r="B1321" s="181">
        <v>24.552776549237016</v>
      </c>
    </row>
    <row r="1322" spans="2:2" ht="15">
      <c r="B1322" s="181">
        <v>34.444858296796575</v>
      </c>
    </row>
    <row r="1323" spans="2:2" ht="15">
      <c r="B1323" s="181">
        <v>23.10431695252332</v>
      </c>
    </row>
    <row r="1324" spans="2:2" ht="15">
      <c r="B1324" s="181">
        <v>19.893356668283257</v>
      </c>
    </row>
    <row r="1325" spans="2:2" ht="15">
      <c r="B1325" s="181">
        <v>18.626686986662534</v>
      </c>
    </row>
    <row r="1326" spans="2:2" ht="15">
      <c r="B1326" s="181">
        <v>17.694403541919002</v>
      </c>
    </row>
    <row r="1327" spans="2:2" ht="15">
      <c r="B1327" s="181">
        <v>8.9270469790654374</v>
      </c>
    </row>
    <row r="1328" spans="2:2" ht="15">
      <c r="B1328" s="181">
        <v>10.202288061379956</v>
      </c>
    </row>
    <row r="1329" spans="2:2" ht="15">
      <c r="B1329" s="181">
        <v>23.177068203924197</v>
      </c>
    </row>
    <row r="1330" spans="2:2" ht="15">
      <c r="B1330" s="181">
        <v>50.682171209245951</v>
      </c>
    </row>
    <row r="1331" spans="2:2" ht="15">
      <c r="B1331" s="181">
        <v>4.4697088751967833</v>
      </c>
    </row>
    <row r="1332" spans="2:2" ht="15">
      <c r="B1332" s="181">
        <v>34.605620431893527</v>
      </c>
    </row>
    <row r="1333" spans="2:2" ht="15">
      <c r="B1333" s="181">
        <v>26.685551937014608</v>
      </c>
    </row>
    <row r="1334" spans="2:2" ht="15">
      <c r="B1334" s="181">
        <v>58.253414894979045</v>
      </c>
    </row>
    <row r="1335" spans="2:2" ht="15">
      <c r="B1335" s="181">
        <v>16.14372905087632</v>
      </c>
    </row>
    <row r="1336" spans="2:2" ht="15">
      <c r="B1336" s="181">
        <v>18.721551840113534</v>
      </c>
    </row>
    <row r="1337" spans="2:2" ht="15">
      <c r="B1337" s="181">
        <v>16.471093623411186</v>
      </c>
    </row>
    <row r="1338" spans="2:2" ht="15">
      <c r="B1338" s="181">
        <v>19.224013822261064</v>
      </c>
    </row>
    <row r="1339" spans="2:2" ht="15">
      <c r="B1339" s="181">
        <v>10.332249677270992</v>
      </c>
    </row>
    <row r="1340" spans="2:2" ht="15">
      <c r="B1340" s="181">
        <v>19.7706721075632</v>
      </c>
    </row>
    <row r="1341" spans="2:2" ht="15">
      <c r="B1341" s="181">
        <v>13.782416806795467</v>
      </c>
    </row>
    <row r="1342" spans="2:2" ht="15">
      <c r="B1342" s="181">
        <v>34.762139961116368</v>
      </c>
    </row>
    <row r="1343" spans="2:2" ht="15">
      <c r="B1343" s="181">
        <v>38.228298641701542</v>
      </c>
    </row>
    <row r="1344" spans="2:2" ht="15">
      <c r="B1344" s="181">
        <v>26.883230125736748</v>
      </c>
    </row>
    <row r="1345" spans="2:2" ht="15">
      <c r="B1345" s="181">
        <v>49.667905313729975</v>
      </c>
    </row>
    <row r="1346" spans="2:2" ht="15">
      <c r="B1346" s="181">
        <v>11.916109358648788</v>
      </c>
    </row>
    <row r="1347" spans="2:2" ht="15">
      <c r="B1347" s="181">
        <v>26.085943327511096</v>
      </c>
    </row>
    <row r="1348" spans="2:2" ht="15">
      <c r="B1348" s="181">
        <v>10.227221210850665</v>
      </c>
    </row>
    <row r="1349" spans="2:2" ht="15">
      <c r="B1349" s="181">
        <v>25.360162788714298</v>
      </c>
    </row>
    <row r="1350" spans="2:2" ht="15">
      <c r="B1350" s="181">
        <v>25.919247589816656</v>
      </c>
    </row>
    <row r="1351" spans="2:2" ht="15">
      <c r="B1351" s="181">
        <v>4.8135230923573973</v>
      </c>
    </row>
    <row r="1352" spans="2:2" ht="15">
      <c r="B1352" s="181">
        <v>9.5753004344853512</v>
      </c>
    </row>
    <row r="1353" spans="2:2" ht="15">
      <c r="B1353" s="181">
        <v>20.966757161423853</v>
      </c>
    </row>
    <row r="1354" spans="2:2" ht="15">
      <c r="B1354" s="181">
        <v>44.334785279234097</v>
      </c>
    </row>
    <row r="1355" spans="2:2" ht="15">
      <c r="B1355" s="181">
        <v>11.650557289390182</v>
      </c>
    </row>
    <row r="1356" spans="2:2" ht="15">
      <c r="B1356" s="181">
        <v>15.244828498081638</v>
      </c>
    </row>
    <row r="1357" spans="2:2" ht="15">
      <c r="B1357" s="181">
        <v>21.589672412107223</v>
      </c>
    </row>
    <row r="1358" spans="2:2" ht="15">
      <c r="B1358" s="181">
        <v>12.096396472154963</v>
      </c>
    </row>
    <row r="1359" spans="2:2" ht="15">
      <c r="B1359" s="181">
        <v>9.6982377345720217</v>
      </c>
    </row>
    <row r="1360" spans="2:2" ht="15">
      <c r="B1360" s="181">
        <v>43.949867452605481</v>
      </c>
    </row>
    <row r="1361" spans="2:2" ht="15">
      <c r="B1361" s="181">
        <v>13.805114544840169</v>
      </c>
    </row>
    <row r="1362" spans="2:2" ht="15">
      <c r="B1362" s="181">
        <v>11.068467734918753</v>
      </c>
    </row>
    <row r="1363" spans="2:2" ht="15">
      <c r="B1363" s="181">
        <v>25.357173193146608</v>
      </c>
    </row>
    <row r="1364" spans="2:2" ht="15">
      <c r="B1364" s="181">
        <v>16.527757262806961</v>
      </c>
    </row>
    <row r="1365" spans="2:2" ht="15">
      <c r="B1365" s="181">
        <v>13.857237398035405</v>
      </c>
    </row>
    <row r="1366" spans="2:2" ht="15">
      <c r="B1366" s="181">
        <v>23.773323364554816</v>
      </c>
    </row>
    <row r="1367" spans="2:2" ht="15">
      <c r="B1367" s="181">
        <v>14.249825103389417</v>
      </c>
    </row>
    <row r="1368" spans="2:2" ht="15">
      <c r="B1368" s="181">
        <v>24.244270972550062</v>
      </c>
    </row>
    <row r="1369" spans="2:2" ht="15">
      <c r="B1369" s="181">
        <v>12.754128236809168</v>
      </c>
    </row>
    <row r="1370" spans="2:2" ht="15">
      <c r="B1370" s="181">
        <v>24.104193748712721</v>
      </c>
    </row>
    <row r="1371" spans="2:2" ht="15">
      <c r="B1371" s="181">
        <v>15.068700500329896</v>
      </c>
    </row>
    <row r="1372" spans="2:2" ht="15">
      <c r="B1372" s="181">
        <v>11.80000952334046</v>
      </c>
    </row>
    <row r="1373" spans="2:2" ht="15">
      <c r="B1373" s="181">
        <v>29.261679363632162</v>
      </c>
    </row>
    <row r="1374" spans="2:2" ht="15">
      <c r="B1374" s="181">
        <v>14.182271094395826</v>
      </c>
    </row>
    <row r="1375" spans="2:2" ht="15">
      <c r="B1375" s="181">
        <v>13.353193906786496</v>
      </c>
    </row>
    <row r="1376" spans="2:2" ht="15">
      <c r="B1376" s="181">
        <v>28.120342617383169</v>
      </c>
    </row>
    <row r="1377" spans="2:2" ht="15">
      <c r="B1377" s="181">
        <v>17.136110961378172</v>
      </c>
    </row>
    <row r="1378" spans="2:2" ht="15">
      <c r="B1378" s="181">
        <v>25.844568849138057</v>
      </c>
    </row>
    <row r="1379" spans="2:2" ht="15">
      <c r="B1379" s="181">
        <v>36.643055755528493</v>
      </c>
    </row>
    <row r="1380" spans="2:2" ht="15">
      <c r="B1380" s="181">
        <v>14.829269089463128</v>
      </c>
    </row>
    <row r="1381" spans="2:2" ht="15">
      <c r="B1381" s="181">
        <v>29.259662195978329</v>
      </c>
    </row>
    <row r="1382" spans="2:2" ht="15">
      <c r="B1382" s="181">
        <v>10.691041006353656</v>
      </c>
    </row>
    <row r="1383" spans="2:2" ht="15">
      <c r="B1383" s="181">
        <v>16.581467279450433</v>
      </c>
    </row>
    <row r="1384" spans="2:2" ht="15">
      <c r="B1384" s="181">
        <v>14.510289182927298</v>
      </c>
    </row>
    <row r="1385" spans="2:2" ht="15">
      <c r="B1385" s="181">
        <v>31.750837809963159</v>
      </c>
    </row>
    <row r="1386" spans="2:2" ht="15">
      <c r="B1386" s="181">
        <v>15.615148941987448</v>
      </c>
    </row>
    <row r="1387" spans="2:2" ht="15">
      <c r="B1387" s="181">
        <v>25.629541003026461</v>
      </c>
    </row>
    <row r="1388" spans="2:2" ht="15">
      <c r="B1388" s="181">
        <v>14.770637303918342</v>
      </c>
    </row>
    <row r="1389" spans="2:2" ht="15">
      <c r="B1389" s="181">
        <v>17.568950868819851</v>
      </c>
    </row>
    <row r="1390" spans="2:2" ht="15">
      <c r="B1390" s="181">
        <v>10.790291388379295</v>
      </c>
    </row>
    <row r="1391" spans="2:2" ht="15">
      <c r="B1391" s="181">
        <v>11.695845749292516</v>
      </c>
    </row>
    <row r="1392" spans="2:2" ht="15">
      <c r="B1392" s="181">
        <v>20.774576022520868</v>
      </c>
    </row>
    <row r="1393" spans="2:2" ht="15">
      <c r="B1393" s="181">
        <v>20.663580424620395</v>
      </c>
    </row>
    <row r="1394" spans="2:2" ht="15">
      <c r="B1394" s="181">
        <v>45.094066842637432</v>
      </c>
    </row>
    <row r="1395" spans="2:2" ht="15">
      <c r="B1395" s="181">
        <v>25.491188078476977</v>
      </c>
    </row>
    <row r="1396" spans="2:2" ht="15">
      <c r="B1396" s="181">
        <v>8.7280338757872702</v>
      </c>
    </row>
    <row r="1397" spans="2:2" ht="15">
      <c r="B1397" s="181">
        <v>22.004855050847354</v>
      </c>
    </row>
    <row r="1398" spans="2:2" ht="15">
      <c r="B1398" s="181">
        <v>15.882289057993164</v>
      </c>
    </row>
    <row r="1399" spans="2:2" ht="15">
      <c r="B1399" s="181">
        <v>37.223375529131161</v>
      </c>
    </row>
    <row r="1400" spans="2:2" ht="15">
      <c r="B1400" s="181">
        <v>64.36661497548026</v>
      </c>
    </row>
    <row r="1401" spans="2:2" ht="15">
      <c r="B1401" s="181">
        <v>33.695572799432576</v>
      </c>
    </row>
    <row r="1402" spans="2:2" ht="15">
      <c r="B1402" s="181">
        <v>16.790959196051858</v>
      </c>
    </row>
    <row r="1403" spans="2:2" ht="15">
      <c r="B1403" s="181">
        <v>18.387450234728327</v>
      </c>
    </row>
    <row r="1404" spans="2:2" ht="15">
      <c r="B1404" s="181">
        <v>15.207916242030207</v>
      </c>
    </row>
    <row r="1405" spans="2:2" ht="15">
      <c r="B1405" s="181">
        <v>16.872898397216446</v>
      </c>
    </row>
    <row r="1406" spans="2:2" ht="15">
      <c r="B1406" s="181">
        <v>16.496819229104659</v>
      </c>
    </row>
    <row r="1407" spans="2:2" ht="15">
      <c r="B1407" s="181">
        <v>16.257429347644386</v>
      </c>
    </row>
    <row r="1408" spans="2:2" ht="15">
      <c r="B1408" s="181">
        <v>14.99308596085999</v>
      </c>
    </row>
    <row r="1409" spans="2:2" ht="15">
      <c r="B1409" s="181">
        <v>15.768703261997745</v>
      </c>
    </row>
    <row r="1410" spans="2:2" ht="15">
      <c r="B1410" s="181">
        <v>21.174236319100306</v>
      </c>
    </row>
    <row r="1411" spans="2:2" ht="15">
      <c r="B1411" s="181">
        <v>10.160155464338883</v>
      </c>
    </row>
    <row r="1412" spans="2:2" ht="15">
      <c r="B1412" s="181">
        <v>37.352977206375137</v>
      </c>
    </row>
    <row r="1413" spans="2:2" ht="15">
      <c r="B1413" s="181">
        <v>12.051908448308522</v>
      </c>
    </row>
    <row r="1414" spans="2:2" ht="15">
      <c r="B1414" s="181">
        <v>18.248831059549424</v>
      </c>
    </row>
    <row r="1415" spans="2:2" ht="15">
      <c r="B1415" s="181">
        <v>9.4505750750560793</v>
      </c>
    </row>
    <row r="1416" spans="2:2" ht="15">
      <c r="B1416" s="181">
        <v>22.929251849866443</v>
      </c>
    </row>
    <row r="1417" spans="2:2" ht="15">
      <c r="B1417" s="181">
        <v>20.11753031938273</v>
      </c>
    </row>
    <row r="1418" spans="2:2" ht="15">
      <c r="B1418" s="181">
        <v>18.117287672268318</v>
      </c>
    </row>
    <row r="1419" spans="2:2" ht="15">
      <c r="B1419" s="181">
        <v>14.497405065054785</v>
      </c>
    </row>
    <row r="1420" spans="2:2" ht="15">
      <c r="B1420" s="181">
        <v>17.815289729329013</v>
      </c>
    </row>
    <row r="1421" spans="2:2" ht="15">
      <c r="B1421" s="181">
        <v>23.276491269168513</v>
      </c>
    </row>
    <row r="1422" spans="2:2" ht="15">
      <c r="B1422" s="181">
        <v>11.030596729115889</v>
      </c>
    </row>
    <row r="1423" spans="2:2" ht="15">
      <c r="B1423" s="181">
        <v>14.959743904363542</v>
      </c>
    </row>
    <row r="1424" spans="2:2" ht="15">
      <c r="B1424" s="181">
        <v>20.890129001068573</v>
      </c>
    </row>
    <row r="1425" spans="2:2" ht="15">
      <c r="B1425" s="181">
        <v>35.369166021054049</v>
      </c>
    </row>
    <row r="1426" spans="2:2" ht="15">
      <c r="B1426" s="181">
        <v>31.822051081965622</v>
      </c>
    </row>
    <row r="1427" spans="2:2" ht="15">
      <c r="B1427" s="181">
        <v>4.623360936832988</v>
      </c>
    </row>
    <row r="1428" spans="2:2" ht="15">
      <c r="B1428" s="181">
        <v>17.117997673257523</v>
      </c>
    </row>
    <row r="1429" spans="2:2" ht="15">
      <c r="B1429" s="181">
        <v>10.008017257506346</v>
      </c>
    </row>
    <row r="1430" spans="2:2" ht="15">
      <c r="B1430" s="181">
        <v>22.860217084955543</v>
      </c>
    </row>
    <row r="1431" spans="2:2" ht="15">
      <c r="B1431" s="181">
        <v>33.51441869363925</v>
      </c>
    </row>
    <row r="1432" spans="2:2" ht="15">
      <c r="B1432" s="181">
        <v>90.111104493875729</v>
      </c>
    </row>
    <row r="1433" spans="2:2" ht="15">
      <c r="B1433" s="181">
        <v>5.5218103586409351</v>
      </c>
    </row>
    <row r="1434" spans="2:2" ht="15">
      <c r="B1434" s="181">
        <v>11.764457935093604</v>
      </c>
    </row>
    <row r="1435" spans="2:2" ht="15">
      <c r="B1435" s="181">
        <v>9.1265849059633446</v>
      </c>
    </row>
    <row r="1436" spans="2:2" ht="15">
      <c r="B1436" s="181">
        <v>10.235169199555873</v>
      </c>
    </row>
    <row r="1437" spans="2:2" ht="15">
      <c r="B1437" s="181">
        <v>39.245882262720542</v>
      </c>
    </row>
    <row r="1438" spans="2:2" ht="15">
      <c r="B1438" s="181">
        <v>11.229385905067808</v>
      </c>
    </row>
    <row r="1439" spans="2:2" ht="15">
      <c r="B1439" s="181">
        <v>19.304227025536566</v>
      </c>
    </row>
    <row r="1440" spans="2:2" ht="15">
      <c r="B1440" s="181">
        <v>26.378530779608507</v>
      </c>
    </row>
    <row r="1441" spans="2:2" ht="15">
      <c r="B1441" s="181">
        <v>51.848254604771796</v>
      </c>
    </row>
    <row r="1442" spans="2:2" ht="15">
      <c r="B1442" s="181">
        <v>13.343802628660747</v>
      </c>
    </row>
    <row r="1443" spans="2:2" ht="15">
      <c r="B1443" s="181">
        <v>39.94574461251397</v>
      </c>
    </row>
    <row r="1444" spans="2:2" ht="15">
      <c r="B1444" s="181">
        <v>16.772731961511589</v>
      </c>
    </row>
    <row r="1445" spans="2:2" ht="15">
      <c r="B1445" s="181">
        <v>35.507265700306576</v>
      </c>
    </row>
    <row r="1446" spans="2:2" ht="15">
      <c r="B1446" s="181">
        <v>6.9563755935011793</v>
      </c>
    </row>
    <row r="1447" spans="2:2" ht="15">
      <c r="B1447" s="181">
        <v>17.20474728025755</v>
      </c>
    </row>
    <row r="1448" spans="2:2" ht="15">
      <c r="B1448" s="181">
        <v>30.402429261171005</v>
      </c>
    </row>
    <row r="1449" spans="2:2" ht="15">
      <c r="B1449" s="181">
        <v>23.736971806717349</v>
      </c>
    </row>
    <row r="1450" spans="2:2" ht="15">
      <c r="B1450" s="181">
        <v>12.425495074653565</v>
      </c>
    </row>
    <row r="1451" spans="2:2" ht="15">
      <c r="B1451" s="181">
        <v>30.511369303182118</v>
      </c>
    </row>
    <row r="1452" spans="2:2" ht="15">
      <c r="B1452" s="181">
        <v>15.328600672765434</v>
      </c>
    </row>
    <row r="1453" spans="2:2" ht="15">
      <c r="B1453" s="181">
        <v>28.320497060528666</v>
      </c>
    </row>
    <row r="1454" spans="2:2" ht="15">
      <c r="B1454" s="181">
        <v>11.03860727333876</v>
      </c>
    </row>
    <row r="1455" spans="2:2" ht="15">
      <c r="B1455" s="181">
        <v>16.996262544361993</v>
      </c>
    </row>
    <row r="1456" spans="2:2" ht="15">
      <c r="B1456" s="181">
        <v>10.073385648165576</v>
      </c>
    </row>
    <row r="1457" spans="2:2" ht="15">
      <c r="B1457" s="181">
        <v>10.043450012890059</v>
      </c>
    </row>
    <row r="1458" spans="2:2" ht="15">
      <c r="B1458" s="181">
        <v>32.432294092042483</v>
      </c>
    </row>
    <row r="1459" spans="2:2" ht="15">
      <c r="B1459" s="181">
        <v>32.963067760113489</v>
      </c>
    </row>
    <row r="1460" spans="2:2" ht="15">
      <c r="B1460" s="181">
        <v>20.071844824247218</v>
      </c>
    </row>
    <row r="1461" spans="2:2" ht="15">
      <c r="B1461" s="181">
        <v>17.628417351790553</v>
      </c>
    </row>
    <row r="1462" spans="2:2" ht="15">
      <c r="B1462" s="181">
        <v>14.260574610907547</v>
      </c>
    </row>
    <row r="1463" spans="2:2" ht="15">
      <c r="B1463" s="181">
        <v>18.111074677209579</v>
      </c>
    </row>
    <row r="1464" spans="2:2" ht="15">
      <c r="B1464" s="181">
        <v>19.663845517507415</v>
      </c>
    </row>
    <row r="1465" spans="2:2" ht="15">
      <c r="B1465" s="181">
        <v>7.6784742587240329</v>
      </c>
    </row>
    <row r="1466" spans="2:2" ht="15">
      <c r="B1466" s="181">
        <v>22.328946289601145</v>
      </c>
    </row>
    <row r="1467" spans="2:2" ht="15">
      <c r="B1467" s="181">
        <v>47.743412946720468</v>
      </c>
    </row>
    <row r="1468" spans="2:2" ht="15">
      <c r="B1468" s="181">
        <v>11.419563504569274</v>
      </c>
    </row>
    <row r="1469" spans="2:2" ht="15">
      <c r="B1469" s="181">
        <v>11.854210571170674</v>
      </c>
    </row>
    <row r="1470" spans="2:2" ht="15">
      <c r="B1470" s="181">
        <v>7.5684572548233344</v>
      </c>
    </row>
    <row r="1471" spans="2:2" ht="15">
      <c r="B1471" s="181">
        <v>53.186310823328732</v>
      </c>
    </row>
    <row r="1472" spans="2:2" ht="15">
      <c r="B1472" s="181">
        <v>23.252315944831299</v>
      </c>
    </row>
    <row r="1473" spans="2:2" ht="15">
      <c r="B1473" s="181">
        <v>9.1386345194324221</v>
      </c>
    </row>
    <row r="1474" spans="2:2" ht="15">
      <c r="B1474" s="181">
        <v>22.480268860523601</v>
      </c>
    </row>
    <row r="1475" spans="2:2" ht="15">
      <c r="B1475" s="181">
        <v>12.620563831084757</v>
      </c>
    </row>
    <row r="1476" spans="2:2" ht="15">
      <c r="B1476" s="181">
        <v>46.520879599648261</v>
      </c>
    </row>
    <row r="1477" spans="2:2" ht="15">
      <c r="B1477" s="181">
        <v>25.532009361969266</v>
      </c>
    </row>
    <row r="1478" spans="2:2" ht="15">
      <c r="B1478" s="181">
        <v>17.620946304084956</v>
      </c>
    </row>
    <row r="1479" spans="2:2" ht="15">
      <c r="B1479" s="181">
        <v>23.432639892365906</v>
      </c>
    </row>
    <row r="1480" spans="2:2" ht="15">
      <c r="B1480" s="181">
        <v>12.868012100751617</v>
      </c>
    </row>
    <row r="1481" spans="2:2" ht="15">
      <c r="B1481" s="181">
        <v>14.102920045371144</v>
      </c>
    </row>
    <row r="1482" spans="2:2" ht="15">
      <c r="B1482" s="181">
        <v>14.650233308921024</v>
      </c>
    </row>
    <row r="1483" spans="2:2" ht="15">
      <c r="B1483" s="181">
        <v>15.446202274718114</v>
      </c>
    </row>
    <row r="1484" spans="2:2" ht="15">
      <c r="B1484" s="181">
        <v>15.571759429106292</v>
      </c>
    </row>
    <row r="1485" spans="2:2" ht="15">
      <c r="B1485" s="181">
        <v>22.922484313472332</v>
      </c>
    </row>
    <row r="1486" spans="2:2" ht="15">
      <c r="B1486" s="181">
        <v>11.168073820804588</v>
      </c>
    </row>
    <row r="1487" spans="2:2" ht="15">
      <c r="B1487" s="181">
        <v>31.189265445334776</v>
      </c>
    </row>
    <row r="1488" spans="2:2" ht="15">
      <c r="B1488" s="181">
        <v>18.225151341415152</v>
      </c>
    </row>
    <row r="1489" spans="2:2" ht="15">
      <c r="B1489" s="181">
        <v>18.311511778194969</v>
      </c>
    </row>
    <row r="1490" spans="2:2" ht="15">
      <c r="B1490" s="181">
        <v>20.789104943860941</v>
      </c>
    </row>
    <row r="1491" spans="2:2" ht="15">
      <c r="B1491" s="181">
        <v>6.1252736646265777</v>
      </c>
    </row>
    <row r="1492" spans="2:2" ht="15">
      <c r="B1492" s="181">
        <v>9.055470308239876</v>
      </c>
    </row>
    <row r="1493" spans="2:2" ht="15">
      <c r="B1493" s="181">
        <v>27.673254851320277</v>
      </c>
    </row>
    <row r="1494" spans="2:2" ht="15">
      <c r="B1494" s="181">
        <v>8.9895983262407135</v>
      </c>
    </row>
    <row r="1495" spans="2:2" ht="15">
      <c r="B1495" s="181">
        <v>15.912079307318852</v>
      </c>
    </row>
    <row r="1496" spans="2:2" ht="15">
      <c r="B1496" s="181">
        <v>16.567932315836142</v>
      </c>
    </row>
    <row r="1497" spans="2:2" ht="15">
      <c r="B1497" s="181">
        <v>29.477391183810351</v>
      </c>
    </row>
    <row r="1498" spans="2:2" ht="15">
      <c r="B1498" s="181">
        <v>22.025210126052361</v>
      </c>
    </row>
    <row r="1499" spans="2:2" ht="15">
      <c r="B1499" s="181">
        <v>25.282670388451351</v>
      </c>
    </row>
    <row r="1500" spans="2:2" ht="15">
      <c r="B1500" s="181">
        <v>26.067340012190812</v>
      </c>
    </row>
    <row r="1501" spans="2:2" ht="15">
      <c r="B1501" s="181">
        <v>8.0455069769716108</v>
      </c>
    </row>
    <row r="1502" spans="2:2" ht="15">
      <c r="B1502" s="181">
        <v>11.336248514253548</v>
      </c>
    </row>
    <row r="1503" spans="2:2" ht="15">
      <c r="B1503" s="181">
        <v>7.1361462609626605</v>
      </c>
    </row>
    <row r="1504" spans="2:2" ht="15">
      <c r="B1504" s="181">
        <v>17.576187857037723</v>
      </c>
    </row>
    <row r="1505" spans="2:2" ht="15">
      <c r="B1505" s="181">
        <v>33.081414663073048</v>
      </c>
    </row>
    <row r="1506" spans="2:2" ht="15">
      <c r="B1506" s="181">
        <v>17.850505231726352</v>
      </c>
    </row>
    <row r="1507" spans="2:2" ht="15">
      <c r="B1507" s="181">
        <v>11.117498074085313</v>
      </c>
    </row>
    <row r="1508" spans="2:2" ht="15">
      <c r="B1508" s="181">
        <v>9.6802695606189673</v>
      </c>
    </row>
    <row r="1509" spans="2:2" ht="15">
      <c r="B1509" s="181">
        <v>8.5360466836658695</v>
      </c>
    </row>
    <row r="1510" spans="2:2" ht="15">
      <c r="B1510" s="181">
        <v>17.340710355675334</v>
      </c>
    </row>
    <row r="1511" spans="2:2" ht="15">
      <c r="B1511" s="181">
        <v>13.320245649019219</v>
      </c>
    </row>
    <row r="1512" spans="2:2" ht="15">
      <c r="B1512" s="181">
        <v>46.907593381902366</v>
      </c>
    </row>
    <row r="1513" spans="2:2" ht="15">
      <c r="B1513" s="181">
        <v>25.435407447015528</v>
      </c>
    </row>
    <row r="1514" spans="2:2" ht="15">
      <c r="B1514" s="181">
        <v>17.630876453481491</v>
      </c>
    </row>
    <row r="1515" spans="2:2" ht="15">
      <c r="B1515" s="181">
        <v>8.9882921206110336</v>
      </c>
    </row>
    <row r="1516" spans="2:2" ht="15">
      <c r="B1516" s="181">
        <v>49.504660895153442</v>
      </c>
    </row>
    <row r="1517" spans="2:2" ht="15">
      <c r="B1517" s="181">
        <v>17.509103742134947</v>
      </c>
    </row>
    <row r="1518" spans="2:2" ht="15">
      <c r="B1518" s="181">
        <v>15.971007695964408</v>
      </c>
    </row>
    <row r="1519" spans="2:2" ht="15">
      <c r="B1519" s="181">
        <v>11.532358556683192</v>
      </c>
    </row>
    <row r="1520" spans="2:2" ht="15">
      <c r="B1520" s="181">
        <v>3.7327194332674507</v>
      </c>
    </row>
    <row r="1521" spans="2:2" ht="15">
      <c r="B1521" s="181">
        <v>25.638109477589531</v>
      </c>
    </row>
    <row r="1522" spans="2:2" ht="15">
      <c r="B1522" s="181">
        <v>22.560581149168812</v>
      </c>
    </row>
    <row r="1523" spans="2:2" ht="15">
      <c r="B1523" s="181">
        <v>18.567919252342747</v>
      </c>
    </row>
    <row r="1524" spans="2:2" ht="15">
      <c r="B1524" s="181">
        <v>38.13770385227815</v>
      </c>
    </row>
    <row r="1525" spans="2:2" ht="15">
      <c r="B1525" s="181">
        <v>23.206704496613465</v>
      </c>
    </row>
    <row r="1526" spans="2:2" ht="15">
      <c r="B1526" s="181">
        <v>16.349564076913882</v>
      </c>
    </row>
    <row r="1527" spans="2:2" ht="15">
      <c r="B1527" s="181">
        <v>15.018542175648438</v>
      </c>
    </row>
    <row r="1528" spans="2:2" ht="15">
      <c r="B1528" s="181">
        <v>8.7575900902243013</v>
      </c>
    </row>
    <row r="1529" spans="2:2" ht="15">
      <c r="B1529" s="181">
        <v>27.658886591231273</v>
      </c>
    </row>
    <row r="1530" spans="2:2" ht="15">
      <c r="B1530" s="181">
        <v>4.9415453179520057</v>
      </c>
    </row>
    <row r="1531" spans="2:2" ht="15">
      <c r="B1531" s="181">
        <v>17.033674882697944</v>
      </c>
    </row>
    <row r="1532" spans="2:2" ht="15">
      <c r="B1532" s="181">
        <v>20.583785148430156</v>
      </c>
    </row>
    <row r="1533" spans="2:2" ht="15">
      <c r="B1533" s="181">
        <v>14.037744733758055</v>
      </c>
    </row>
    <row r="1534" spans="2:2" ht="15">
      <c r="B1534" s="181">
        <v>34.147177579231702</v>
      </c>
    </row>
    <row r="1535" spans="2:2" ht="15">
      <c r="B1535" s="181">
        <v>10.255251473540508</v>
      </c>
    </row>
    <row r="1536" spans="2:2" ht="15">
      <c r="B1536" s="181">
        <v>28.990011017257274</v>
      </c>
    </row>
    <row r="1537" spans="2:2" ht="15">
      <c r="B1537" s="181">
        <v>9.703108013137534</v>
      </c>
    </row>
    <row r="1538" spans="2:2" ht="15">
      <c r="B1538" s="181">
        <v>13.538967295340752</v>
      </c>
    </row>
    <row r="1539" spans="2:2" ht="15">
      <c r="B1539" s="181">
        <v>45.545803886763018</v>
      </c>
    </row>
    <row r="1540" spans="2:2" ht="15">
      <c r="B1540" s="181">
        <v>25.494821535143629</v>
      </c>
    </row>
    <row r="1541" spans="2:2" ht="15">
      <c r="B1541" s="181">
        <v>16.537442265139514</v>
      </c>
    </row>
    <row r="1542" spans="2:2" ht="15">
      <c r="B1542" s="181">
        <v>20.436082563978236</v>
      </c>
    </row>
    <row r="1543" spans="2:2" ht="15">
      <c r="B1543" s="181">
        <v>16.781468777573451</v>
      </c>
    </row>
    <row r="1544" spans="2:2" ht="15">
      <c r="B1544" s="181">
        <v>21.526854433454698</v>
      </c>
    </row>
    <row r="1545" spans="2:2" ht="15">
      <c r="B1545" s="181">
        <v>22.687753635745771</v>
      </c>
    </row>
    <row r="1546" spans="2:2" ht="15">
      <c r="B1546" s="181">
        <v>4.9337192282507791</v>
      </c>
    </row>
    <row r="1547" spans="2:2" ht="15">
      <c r="B1547" s="181">
        <v>12.962796066379171</v>
      </c>
    </row>
    <row r="1548" spans="2:2" ht="15">
      <c r="B1548" s="181">
        <v>20.878004012623325</v>
      </c>
    </row>
    <row r="1549" spans="2:2" ht="15">
      <c r="B1549" s="181">
        <v>25.166942340045942</v>
      </c>
    </row>
    <row r="1550" spans="2:2" ht="15">
      <c r="B1550" s="181">
        <v>13.768021342001694</v>
      </c>
    </row>
    <row r="1551" spans="2:2" ht="15">
      <c r="B1551" s="181">
        <v>32.525723121052167</v>
      </c>
    </row>
    <row r="1552" spans="2:2" ht="15">
      <c r="B1552" s="181">
        <v>23.039710371371243</v>
      </c>
    </row>
    <row r="1553" spans="2:2" ht="15">
      <c r="B1553" s="181">
        <v>13.690522269548511</v>
      </c>
    </row>
    <row r="1554" spans="2:2" ht="15">
      <c r="B1554" s="181">
        <v>17.825338940824075</v>
      </c>
    </row>
    <row r="1555" spans="2:2" ht="15">
      <c r="B1555" s="181">
        <v>12.701674937898684</v>
      </c>
    </row>
    <row r="1556" spans="2:2" ht="15">
      <c r="B1556" s="181">
        <v>24.89721893551668</v>
      </c>
    </row>
    <row r="1557" spans="2:2" ht="15">
      <c r="B1557" s="181">
        <v>7.871813672836927</v>
      </c>
    </row>
    <row r="1558" spans="2:2" ht="15">
      <c r="B1558" s="181">
        <v>12.004642551876767</v>
      </c>
    </row>
    <row r="1559" spans="2:2" ht="15">
      <c r="B1559" s="181">
        <v>53.147710324850358</v>
      </c>
    </row>
    <row r="1560" spans="2:2" ht="15">
      <c r="B1560" s="181">
        <v>32.008183581514025</v>
      </c>
    </row>
    <row r="1561" spans="2:2" ht="15">
      <c r="B1561" s="181">
        <v>8.6483018817597479</v>
      </c>
    </row>
    <row r="1562" spans="2:2" ht="15">
      <c r="B1562" s="181">
        <v>44.625478211424216</v>
      </c>
    </row>
    <row r="1563" spans="2:2" ht="15">
      <c r="B1563" s="181">
        <v>12.655061603405112</v>
      </c>
    </row>
    <row r="1564" spans="2:2" ht="15">
      <c r="B1564" s="181">
        <v>10.555422006827502</v>
      </c>
    </row>
    <row r="1565" spans="2:2" ht="15">
      <c r="B1565" s="181">
        <v>12.137070597756246</v>
      </c>
    </row>
    <row r="1566" spans="2:2" ht="15">
      <c r="B1566" s="181">
        <v>21.511209261369572</v>
      </c>
    </row>
    <row r="1567" spans="2:2" ht="15">
      <c r="B1567" s="181">
        <v>33.517030567343966</v>
      </c>
    </row>
    <row r="1568" spans="2:2" ht="15">
      <c r="B1568" s="181">
        <v>15.717577170378464</v>
      </c>
    </row>
    <row r="1569" spans="2:2" ht="15">
      <c r="B1569" s="181">
        <v>27.842257941711356</v>
      </c>
    </row>
    <row r="1570" spans="2:2" ht="15">
      <c r="B1570" s="181">
        <v>20.183819548809815</v>
      </c>
    </row>
    <row r="1571" spans="2:2" ht="15">
      <c r="B1571" s="181">
        <v>37.796628059251951</v>
      </c>
    </row>
    <row r="1572" spans="2:2" ht="15">
      <c r="B1572" s="181">
        <v>23.012745244869642</v>
      </c>
    </row>
    <row r="1573" spans="2:2" ht="15">
      <c r="B1573" s="181">
        <v>24.064057097659369</v>
      </c>
    </row>
    <row r="1574" spans="2:2" ht="15">
      <c r="B1574" s="181">
        <v>4.2100170441109839</v>
      </c>
    </row>
    <row r="1575" spans="2:2" ht="15">
      <c r="B1575" s="181">
        <v>9.4076817708716796</v>
      </c>
    </row>
    <row r="1576" spans="2:2" ht="15">
      <c r="B1576" s="181">
        <v>29.027570405914346</v>
      </c>
    </row>
    <row r="1577" spans="2:2" ht="15">
      <c r="B1577" s="181">
        <v>23.518948734252042</v>
      </c>
    </row>
    <row r="1578" spans="2:2" ht="15">
      <c r="B1578" s="181">
        <v>12.816041693764985</v>
      </c>
    </row>
    <row r="1579" spans="2:2" ht="15">
      <c r="B1579" s="181">
        <v>33.406228458678328</v>
      </c>
    </row>
    <row r="1580" spans="2:2" ht="15">
      <c r="B1580" s="181">
        <v>25.161369388603863</v>
      </c>
    </row>
    <row r="1581" spans="2:2" ht="15">
      <c r="B1581" s="181">
        <v>16.833829132550246</v>
      </c>
    </row>
    <row r="1582" spans="2:2" ht="15">
      <c r="B1582" s="181">
        <v>30.530814089995246</v>
      </c>
    </row>
    <row r="1583" spans="2:2" ht="15">
      <c r="B1583" s="181">
        <v>17.808844934547174</v>
      </c>
    </row>
    <row r="1584" spans="2:2" ht="15">
      <c r="B1584" s="181">
        <v>26.243419365382117</v>
      </c>
    </row>
    <row r="1585" spans="2:2" ht="15">
      <c r="B1585" s="181">
        <v>21.609424345000757</v>
      </c>
    </row>
    <row r="1586" spans="2:2" ht="15">
      <c r="B1586" s="181">
        <v>32.654770341206074</v>
      </c>
    </row>
    <row r="1587" spans="2:2" ht="15">
      <c r="B1587" s="181">
        <v>5.0339435457647159</v>
      </c>
    </row>
    <row r="1588" spans="2:2" ht="15">
      <c r="B1588" s="181">
        <v>13.085720438057377</v>
      </c>
    </row>
    <row r="1589" spans="2:2" ht="15">
      <c r="B1589" s="181">
        <v>24.950658328688569</v>
      </c>
    </row>
    <row r="1590" spans="2:2" ht="15">
      <c r="B1590" s="181">
        <v>50.295860197338271</v>
      </c>
    </row>
    <row r="1591" spans="2:2" ht="15">
      <c r="B1591" s="181">
        <v>18.19480468210541</v>
      </c>
    </row>
    <row r="1592" spans="2:2" ht="15">
      <c r="B1592" s="181">
        <v>27.496130181599952</v>
      </c>
    </row>
    <row r="1593" spans="2:2" ht="15">
      <c r="B1593" s="181">
        <v>17.794724259208717</v>
      </c>
    </row>
    <row r="1594" spans="2:2" ht="15">
      <c r="B1594" s="181">
        <v>38.58134203938527</v>
      </c>
    </row>
    <row r="1595" spans="2:2" ht="15">
      <c r="B1595" s="181">
        <v>16.820082000006298</v>
      </c>
    </row>
    <row r="1596" spans="2:2" ht="15">
      <c r="B1596" s="181">
        <v>42.899696878738126</v>
      </c>
    </row>
    <row r="1597" spans="2:2" ht="15">
      <c r="B1597" s="181">
        <v>34.137182786365841</v>
      </c>
    </row>
    <row r="1598" spans="2:2" ht="15">
      <c r="B1598" s="181">
        <v>15.615099881665417</v>
      </c>
    </row>
    <row r="1599" spans="2:2" ht="15">
      <c r="B1599" s="181">
        <v>53.092939432052972</v>
      </c>
    </row>
    <row r="1600" spans="2:2" ht="15">
      <c r="B1600" s="181">
        <v>10.987599292948806</v>
      </c>
    </row>
    <row r="1601" spans="2:2" ht="15">
      <c r="B1601" s="181">
        <v>17.560293414120487</v>
      </c>
    </row>
    <row r="1602" spans="2:2" ht="15">
      <c r="B1602" s="181">
        <v>12.516188452670798</v>
      </c>
    </row>
    <row r="1603" spans="2:2" ht="15">
      <c r="B1603" s="181">
        <v>18.433256065638201</v>
      </c>
    </row>
    <row r="1604" spans="2:2" ht="15">
      <c r="B1604" s="181">
        <v>8.5312831879797493</v>
      </c>
    </row>
    <row r="1605" spans="2:2" ht="15">
      <c r="B1605" s="181">
        <v>8.0704010773665367</v>
      </c>
    </row>
    <row r="1606" spans="2:2" ht="15">
      <c r="B1606" s="181">
        <v>14.363715552464368</v>
      </c>
    </row>
    <row r="1607" spans="2:2" ht="15">
      <c r="B1607" s="181">
        <v>29.553385421585467</v>
      </c>
    </row>
    <row r="1608" spans="2:2" ht="15">
      <c r="B1608" s="181">
        <v>16.1451029331961</v>
      </c>
    </row>
    <row r="1609" spans="2:2" ht="15">
      <c r="B1609" s="181">
        <v>37.724624046265184</v>
      </c>
    </row>
    <row r="1610" spans="2:2" ht="15">
      <c r="B1610" s="181">
        <v>23.190165496128802</v>
      </c>
    </row>
    <row r="1611" spans="2:2" ht="15">
      <c r="B1611" s="181">
        <v>12.489650693541344</v>
      </c>
    </row>
    <row r="1612" spans="2:2" ht="15">
      <c r="B1612" s="181">
        <v>18.500988107118815</v>
      </c>
    </row>
    <row r="1613" spans="2:2" ht="15">
      <c r="B1613" s="181">
        <v>56.831935697318947</v>
      </c>
    </row>
    <row r="1614" spans="2:2" ht="15">
      <c r="B1614" s="181">
        <v>9.4054411794071857</v>
      </c>
    </row>
    <row r="1615" spans="2:2" ht="15">
      <c r="B1615" s="181">
        <v>9.0024392857476006</v>
      </c>
    </row>
    <row r="1616" spans="2:2" ht="15">
      <c r="B1616" s="181">
        <v>17.019663081644829</v>
      </c>
    </row>
    <row r="1617" spans="2:2" ht="15">
      <c r="B1617" s="181">
        <v>44.40439835722519</v>
      </c>
    </row>
    <row r="1618" spans="2:2" ht="15">
      <c r="B1618" s="181">
        <v>29.656107480347853</v>
      </c>
    </row>
    <row r="1619" spans="2:2" ht="15">
      <c r="B1619" s="181">
        <v>42.645269708165237</v>
      </c>
    </row>
    <row r="1620" spans="2:2" ht="15">
      <c r="B1620" s="181">
        <v>14.221723921888643</v>
      </c>
    </row>
    <row r="1621" spans="2:2" ht="15">
      <c r="B1621" s="181">
        <v>5.7610971815036383</v>
      </c>
    </row>
    <row r="1622" spans="2:2" ht="15">
      <c r="B1622" s="181">
        <v>15.22196726158317</v>
      </c>
    </row>
    <row r="1623" spans="2:2" ht="15">
      <c r="B1623" s="181">
        <v>10.611194651438918</v>
      </c>
    </row>
    <row r="1624" spans="2:2" ht="15">
      <c r="B1624" s="181">
        <v>20.212351752340776</v>
      </c>
    </row>
    <row r="1625" spans="2:2" ht="15">
      <c r="B1625" s="181">
        <v>17.278754690162991</v>
      </c>
    </row>
    <row r="1626" spans="2:2" ht="15">
      <c r="B1626" s="181">
        <v>5.5711304334170562</v>
      </c>
    </row>
    <row r="1627" spans="2:2" ht="15">
      <c r="B1627" s="181">
        <v>15.830411008192794</v>
      </c>
    </row>
    <row r="1628" spans="2:2" ht="15">
      <c r="B1628" s="181">
        <v>7.9704980799413345</v>
      </c>
    </row>
    <row r="1629" spans="2:2" ht="15">
      <c r="B1629" s="181">
        <v>5.5242947490108651</v>
      </c>
    </row>
    <row r="1630" spans="2:2" ht="15">
      <c r="B1630" s="181">
        <v>14.775426491850601</v>
      </c>
    </row>
    <row r="1631" spans="2:2" ht="15">
      <c r="B1631" s="181">
        <v>18.827421312064825</v>
      </c>
    </row>
    <row r="1632" spans="2:2" ht="15">
      <c r="B1632" s="181">
        <v>10.913865203793756</v>
      </c>
    </row>
    <row r="1633" spans="2:2" ht="15">
      <c r="B1633" s="181">
        <v>28.773361132426732</v>
      </c>
    </row>
    <row r="1634" spans="2:2" ht="15">
      <c r="B1634" s="181">
        <v>13.018898732748996</v>
      </c>
    </row>
    <row r="1635" spans="2:2" ht="15">
      <c r="B1635" s="181">
        <v>28.874812196505214</v>
      </c>
    </row>
    <row r="1636" spans="2:2" ht="15">
      <c r="B1636" s="181">
        <v>74.582247992871416</v>
      </c>
    </row>
    <row r="1637" spans="2:2" ht="15">
      <c r="B1637" s="181">
        <v>11.183082376523767</v>
      </c>
    </row>
    <row r="1638" spans="2:2" ht="15">
      <c r="B1638" s="181">
        <v>22.830781652411748</v>
      </c>
    </row>
    <row r="1639" spans="2:2" ht="15">
      <c r="B1639" s="181">
        <v>34.308685045052741</v>
      </c>
    </row>
    <row r="1640" spans="2:2" ht="15">
      <c r="B1640" s="181">
        <v>41.45107424354422</v>
      </c>
    </row>
    <row r="1641" spans="2:2" ht="15">
      <c r="B1641" s="181">
        <v>45.300937430223961</v>
      </c>
    </row>
    <row r="1642" spans="2:2" ht="15">
      <c r="B1642" s="181">
        <v>19.658350169397359</v>
      </c>
    </row>
    <row r="1643" spans="2:2" ht="15">
      <c r="B1643" s="181">
        <v>11.37920349469055</v>
      </c>
    </row>
    <row r="1644" spans="2:2" ht="15">
      <c r="B1644" s="181">
        <v>21.032220315433037</v>
      </c>
    </row>
    <row r="1645" spans="2:2" ht="15">
      <c r="B1645" s="181">
        <v>63.419693477121044</v>
      </c>
    </row>
    <row r="1646" spans="2:2" ht="15">
      <c r="B1646" s="181">
        <v>15.113255713784296</v>
      </c>
    </row>
    <row r="1647" spans="2:2" ht="15">
      <c r="B1647" s="181">
        <v>8.1679638413664897</v>
      </c>
    </row>
    <row r="1648" spans="2:2" ht="15">
      <c r="B1648" s="181">
        <v>27.050656148248709</v>
      </c>
    </row>
    <row r="1649" spans="2:2" ht="15">
      <c r="B1649" s="181">
        <v>14.110900132219543</v>
      </c>
    </row>
    <row r="1650" spans="2:2" ht="15">
      <c r="B1650" s="181">
        <v>29.36660651642941</v>
      </c>
    </row>
    <row r="1651" spans="2:2" ht="15">
      <c r="B1651" s="181">
        <v>15.676538906403604</v>
      </c>
    </row>
    <row r="1652" spans="2:2" ht="15">
      <c r="B1652" s="181">
        <v>13.568360845509721</v>
      </c>
    </row>
    <row r="1653" spans="2:2" ht="15">
      <c r="B1653" s="181">
        <v>14.313494346494638</v>
      </c>
    </row>
    <row r="1654" spans="2:2" ht="15">
      <c r="B1654" s="181">
        <v>11.282679549791904</v>
      </c>
    </row>
    <row r="1655" spans="2:2" ht="15">
      <c r="B1655" s="181">
        <v>15.576194430506538</v>
      </c>
    </row>
    <row r="1656" spans="2:2" ht="15">
      <c r="B1656" s="181">
        <v>11.647183068566664</v>
      </c>
    </row>
    <row r="1657" spans="2:2" ht="15">
      <c r="B1657" s="181">
        <v>29.974855048986754</v>
      </c>
    </row>
    <row r="1658" spans="2:2" ht="15">
      <c r="B1658" s="181">
        <v>12.022923593054477</v>
      </c>
    </row>
    <row r="1659" spans="2:2" ht="15">
      <c r="B1659" s="181">
        <v>22.976996271592125</v>
      </c>
    </row>
    <row r="1660" spans="2:2" ht="15">
      <c r="B1660" s="181">
        <v>7.7292769433409987</v>
      </c>
    </row>
    <row r="1661" spans="2:2" ht="15">
      <c r="B1661" s="181">
        <v>32.092630103166343</v>
      </c>
    </row>
    <row r="1662" spans="2:2" ht="15">
      <c r="B1662" s="181">
        <v>30.498092932813123</v>
      </c>
    </row>
    <row r="1663" spans="2:2" ht="15">
      <c r="B1663" s="181">
        <v>24.225723078345631</v>
      </c>
    </row>
    <row r="1664" spans="2:2" ht="15">
      <c r="B1664" s="181">
        <v>23.500965661159146</v>
      </c>
    </row>
    <row r="1665" spans="2:2" ht="15">
      <c r="B1665" s="181">
        <v>9.8906769047709968</v>
      </c>
    </row>
    <row r="1666" spans="2:2" ht="15">
      <c r="B1666" s="181">
        <v>26.098161541458072</v>
      </c>
    </row>
    <row r="1667" spans="2:2" ht="15">
      <c r="B1667" s="181">
        <v>31.925723855739882</v>
      </c>
    </row>
    <row r="1668" spans="2:2" ht="15">
      <c r="B1668" s="181">
        <v>10.144554821160357</v>
      </c>
    </row>
    <row r="1669" spans="2:2" ht="15">
      <c r="B1669" s="181">
        <v>25.402947778550487</v>
      </c>
    </row>
    <row r="1670" spans="2:2" ht="15">
      <c r="B1670" s="181">
        <v>32.215327242997652</v>
      </c>
    </row>
    <row r="1671" spans="2:2" ht="15">
      <c r="B1671" s="181">
        <v>14.530012568889438</v>
      </c>
    </row>
    <row r="1672" spans="2:2" ht="15">
      <c r="B1672" s="181">
        <v>13.758775358783973</v>
      </c>
    </row>
    <row r="1673" spans="2:2" ht="15">
      <c r="B1673" s="181">
        <v>23.439476594304356</v>
      </c>
    </row>
    <row r="1674" spans="2:2" ht="15">
      <c r="B1674" s="181">
        <v>13.139615763050069</v>
      </c>
    </row>
    <row r="1675" spans="2:2" ht="15">
      <c r="B1675" s="181">
        <v>10.639159830278778</v>
      </c>
    </row>
    <row r="1676" spans="2:2" ht="15">
      <c r="B1676" s="181">
        <v>19.270107591202056</v>
      </c>
    </row>
    <row r="1677" spans="2:2" ht="15">
      <c r="B1677" s="181">
        <v>11.929994323999251</v>
      </c>
    </row>
    <row r="1678" spans="2:2" ht="15">
      <c r="B1678" s="181">
        <v>15.594335738085372</v>
      </c>
    </row>
    <row r="1679" spans="2:2" ht="15">
      <c r="B1679" s="181">
        <v>67.180829175701192</v>
      </c>
    </row>
    <row r="1680" spans="2:2" ht="15">
      <c r="B1680" s="181">
        <v>7.6865660132034366</v>
      </c>
    </row>
    <row r="1681" spans="2:2" ht="15">
      <c r="B1681" s="181">
        <v>14.786257029282114</v>
      </c>
    </row>
    <row r="1682" spans="2:2" ht="15">
      <c r="B1682" s="181">
        <v>25.925436872609907</v>
      </c>
    </row>
    <row r="1683" spans="2:2" ht="15">
      <c r="B1683" s="181">
        <v>71.557535214971765</v>
      </c>
    </row>
    <row r="1684" spans="2:2" ht="15">
      <c r="B1684" s="181">
        <v>13.214179783657661</v>
      </c>
    </row>
    <row r="1685" spans="2:2" ht="15">
      <c r="B1685" s="181">
        <v>11.312589346916882</v>
      </c>
    </row>
    <row r="1686" spans="2:2" ht="15">
      <c r="B1686" s="181">
        <v>29.689425655315674</v>
      </c>
    </row>
    <row r="1687" spans="2:2" ht="15">
      <c r="B1687" s="181">
        <v>58.088378175244038</v>
      </c>
    </row>
    <row r="1688" spans="2:2" ht="15">
      <c r="B1688" s="181">
        <v>23.582610580896599</v>
      </c>
    </row>
    <row r="1689" spans="2:2" ht="15">
      <c r="B1689" s="181">
        <v>11.099124772836619</v>
      </c>
    </row>
    <row r="1690" spans="2:2" ht="15">
      <c r="B1690" s="181">
        <v>30.076410631013122</v>
      </c>
    </row>
    <row r="1691" spans="2:2" ht="15">
      <c r="B1691" s="181">
        <v>11.553687237738952</v>
      </c>
    </row>
    <row r="1692" spans="2:2" ht="15">
      <c r="B1692" s="181">
        <v>9.6223516034498946</v>
      </c>
    </row>
    <row r="1693" spans="2:2" ht="15">
      <c r="B1693" s="181">
        <v>20.945993980233624</v>
      </c>
    </row>
    <row r="1694" spans="2:2" ht="15">
      <c r="B1694" s="181">
        <v>14.860817742516831</v>
      </c>
    </row>
    <row r="1695" spans="2:2" ht="15">
      <c r="B1695" s="181">
        <v>14.294081001232064</v>
      </c>
    </row>
    <row r="1696" spans="2:2" ht="15">
      <c r="B1696" s="181">
        <v>29.197460680673942</v>
      </c>
    </row>
    <row r="1697" spans="2:2" ht="15">
      <c r="B1697" s="181">
        <v>19.77473721626734</v>
      </c>
    </row>
    <row r="1698" spans="2:2" ht="15">
      <c r="B1698" s="181">
        <v>18.363527697209925</v>
      </c>
    </row>
    <row r="1699" spans="2:2" ht="15">
      <c r="B1699" s="181">
        <v>18.612218749070831</v>
      </c>
    </row>
    <row r="1700" spans="2:2" ht="15">
      <c r="B1700" s="181">
        <v>10.683476134149492</v>
      </c>
    </row>
    <row r="1701" spans="2:2" ht="15">
      <c r="B1701" s="181">
        <v>20.22302533869837</v>
      </c>
    </row>
    <row r="1702" spans="2:2" ht="15">
      <c r="B1702" s="181">
        <v>24.806104619322401</v>
      </c>
    </row>
    <row r="1703" spans="2:2" ht="15">
      <c r="B1703" s="181">
        <v>24.30708888634252</v>
      </c>
    </row>
    <row r="1704" spans="2:2" ht="15">
      <c r="B1704" s="181">
        <v>18.31668478035877</v>
      </c>
    </row>
    <row r="1705" spans="2:2" ht="15">
      <c r="B1705" s="181">
        <v>16.632093194321701</v>
      </c>
    </row>
    <row r="1706" spans="2:2" ht="15">
      <c r="B1706" s="181">
        <v>19.239349122998465</v>
      </c>
    </row>
    <row r="1707" spans="2:2" ht="15">
      <c r="B1707" s="181">
        <v>17.447005452043754</v>
      </c>
    </row>
    <row r="1708" spans="2:2" ht="15">
      <c r="B1708" s="181">
        <v>11.230421912316917</v>
      </c>
    </row>
    <row r="1709" spans="2:2" ht="15">
      <c r="B1709" s="181">
        <v>26.315667110661568</v>
      </c>
    </row>
    <row r="1710" spans="2:2" ht="15">
      <c r="B1710" s="181">
        <v>28.572451432169899</v>
      </c>
    </row>
    <row r="1711" spans="2:2" ht="15">
      <c r="B1711" s="181">
        <v>17.058579059901767</v>
      </c>
    </row>
    <row r="1712" spans="2:2" ht="15">
      <c r="B1712" s="181">
        <v>7.9633740436101821</v>
      </c>
    </row>
    <row r="1713" spans="2:2" ht="15">
      <c r="B1713" s="181">
        <v>21.717782741513197</v>
      </c>
    </row>
    <row r="1714" spans="2:2" ht="15">
      <c r="B1714" s="181">
        <v>23.724283324537847</v>
      </c>
    </row>
    <row r="1715" spans="2:2" ht="15">
      <c r="B1715" s="181">
        <v>10.767914136085063</v>
      </c>
    </row>
    <row r="1716" spans="2:2" ht="15">
      <c r="B1716" s="181">
        <v>23.665830222761311</v>
      </c>
    </row>
    <row r="1717" spans="2:2" ht="15">
      <c r="B1717" s="181">
        <v>20.896321782017697</v>
      </c>
    </row>
    <row r="1718" spans="2:2" ht="15">
      <c r="B1718" s="181">
        <v>22.919453641544443</v>
      </c>
    </row>
    <row r="1719" spans="2:2" ht="15">
      <c r="B1719" s="181">
        <v>6.0424409752116413</v>
      </c>
    </row>
    <row r="1720" spans="2:2" ht="15">
      <c r="B1720" s="181">
        <v>17.391492315056439</v>
      </c>
    </row>
    <row r="1721" spans="2:2" ht="15">
      <c r="B1721" s="181">
        <v>12.639864033849499</v>
      </c>
    </row>
    <row r="1722" spans="2:2" ht="15">
      <c r="B1722" s="181">
        <v>21.674241521994265</v>
      </c>
    </row>
    <row r="1723" spans="2:2" ht="15">
      <c r="B1723" s="181">
        <v>14.330263400984016</v>
      </c>
    </row>
    <row r="1724" spans="2:2" ht="15">
      <c r="B1724" s="181">
        <v>29.485158904603061</v>
      </c>
    </row>
    <row r="1725" spans="2:2" ht="15">
      <c r="B1725" s="181">
        <v>27.626078277035365</v>
      </c>
    </row>
    <row r="1726" spans="2:2" ht="15">
      <c r="B1726" s="181">
        <v>22.067072521884043</v>
      </c>
    </row>
    <row r="1727" spans="2:2" ht="15">
      <c r="B1727" s="181">
        <v>11.075729739884345</v>
      </c>
    </row>
    <row r="1728" spans="2:2" ht="15">
      <c r="B1728" s="181">
        <v>32.426011747928925</v>
      </c>
    </row>
    <row r="1729" spans="2:2" ht="15">
      <c r="B1729" s="181">
        <v>24.488821412141551</v>
      </c>
    </row>
    <row r="1730" spans="2:2" ht="15">
      <c r="B1730" s="181">
        <v>20.738668819197489</v>
      </c>
    </row>
    <row r="1731" spans="2:2" ht="15">
      <c r="B1731" s="181">
        <v>10.895248160724261</v>
      </c>
    </row>
    <row r="1732" spans="2:2" ht="15">
      <c r="B1732" s="181">
        <v>12.36735151855801</v>
      </c>
    </row>
    <row r="1733" spans="2:2" ht="15">
      <c r="B1733" s="181">
        <v>17.365013363652913</v>
      </c>
    </row>
    <row r="1734" spans="2:2" ht="15">
      <c r="B1734" s="181">
        <v>8.688067164816486</v>
      </c>
    </row>
    <row r="1735" spans="2:2" ht="15">
      <c r="B1735" s="181">
        <v>29.792310059165885</v>
      </c>
    </row>
    <row r="1736" spans="2:2" ht="15">
      <c r="B1736" s="181">
        <v>13.289562887652744</v>
      </c>
    </row>
    <row r="1737" spans="2:2" ht="15">
      <c r="B1737" s="181">
        <v>12.481021290448169</v>
      </c>
    </row>
    <row r="1738" spans="2:2" ht="15">
      <c r="B1738" s="181">
        <v>22.873483250763528</v>
      </c>
    </row>
    <row r="1739" spans="2:2" ht="15">
      <c r="B1739" s="181">
        <v>18.597684074853987</v>
      </c>
    </row>
    <row r="1740" spans="2:2" ht="15">
      <c r="B1740" s="181">
        <v>44.213042593852876</v>
      </c>
    </row>
    <row r="1741" spans="2:2" ht="15">
      <c r="B1741" s="181">
        <v>14.655002821202816</v>
      </c>
    </row>
    <row r="1742" spans="2:2" ht="15">
      <c r="B1742" s="181">
        <v>15.634564079464434</v>
      </c>
    </row>
    <row r="1743" spans="2:2" ht="15">
      <c r="B1743" s="181">
        <v>67.309896358472102</v>
      </c>
    </row>
    <row r="1744" spans="2:2" ht="15">
      <c r="B1744" s="181">
        <v>15.633915313469723</v>
      </c>
    </row>
    <row r="1745" spans="2:2" ht="15">
      <c r="B1745" s="181">
        <v>26.202968653045978</v>
      </c>
    </row>
    <row r="1746" spans="2:2" ht="15">
      <c r="B1746" s="181">
        <v>17.812969661324583</v>
      </c>
    </row>
    <row r="1747" spans="2:2" ht="15">
      <c r="B1747" s="181">
        <v>20.835502460909975</v>
      </c>
    </row>
    <row r="1748" spans="2:2" ht="15">
      <c r="B1748" s="181">
        <v>31.948056255691093</v>
      </c>
    </row>
    <row r="1749" spans="2:2" ht="15">
      <c r="B1749" s="181">
        <v>15.450175630039816</v>
      </c>
    </row>
    <row r="1750" spans="2:2" ht="15">
      <c r="B1750" s="181">
        <v>17.038857508791892</v>
      </c>
    </row>
    <row r="1751" spans="2:2" ht="15">
      <c r="B1751" s="181">
        <v>31.408501571628296</v>
      </c>
    </row>
    <row r="1752" spans="2:2" ht="15">
      <c r="B1752" s="181">
        <v>59.588726763040448</v>
      </c>
    </row>
    <row r="1753" spans="2:2" ht="15">
      <c r="B1753" s="181">
        <v>10.890262334290052</v>
      </c>
    </row>
    <row r="1754" spans="2:2" ht="15">
      <c r="B1754" s="181">
        <v>39.265179320370208</v>
      </c>
    </row>
    <row r="1755" spans="2:2" ht="15">
      <c r="B1755" s="181">
        <v>8.4555093785667044</v>
      </c>
    </row>
    <row r="1756" spans="2:2" ht="15">
      <c r="B1756" s="181">
        <v>18.698591379073473</v>
      </c>
    </row>
    <row r="1757" spans="2:2" ht="15">
      <c r="B1757" s="181">
        <v>21.999999508880794</v>
      </c>
    </row>
    <row r="1758" spans="2:2" ht="15">
      <c r="B1758" s="181">
        <v>18.420325589634345</v>
      </c>
    </row>
    <row r="1759" spans="2:2" ht="15">
      <c r="B1759" s="181">
        <v>20.278838422115342</v>
      </c>
    </row>
    <row r="1760" spans="2:2" ht="15">
      <c r="B1760" s="181">
        <v>22.076127208481566</v>
      </c>
    </row>
    <row r="1761" spans="2:2" ht="15">
      <c r="B1761" s="181">
        <v>7.0058165931208425</v>
      </c>
    </row>
    <row r="1762" spans="2:2" ht="15">
      <c r="B1762" s="181">
        <v>38.871999049163591</v>
      </c>
    </row>
    <row r="1763" spans="2:2" ht="15">
      <c r="B1763" s="181">
        <v>27.461362268056387</v>
      </c>
    </row>
    <row r="1764" spans="2:2" ht="15">
      <c r="B1764" s="181">
        <v>11.971543517758283</v>
      </c>
    </row>
    <row r="1765" spans="2:2" ht="15">
      <c r="B1765" s="181">
        <v>31.79262151186672</v>
      </c>
    </row>
    <row r="1766" spans="2:2" ht="15">
      <c r="B1766" s="181">
        <v>35.404940497795046</v>
      </c>
    </row>
    <row r="1767" spans="2:2" ht="15">
      <c r="B1767" s="181">
        <v>18.750772554194505</v>
      </c>
    </row>
    <row r="1768" spans="2:2" ht="15">
      <c r="B1768" s="181">
        <v>12.965416631473145</v>
      </c>
    </row>
    <row r="1769" spans="2:2" ht="15">
      <c r="B1769" s="181">
        <v>20.707536646297871</v>
      </c>
    </row>
    <row r="1770" spans="2:2" ht="15">
      <c r="B1770" s="181">
        <v>20.527530174370629</v>
      </c>
    </row>
    <row r="1771" spans="2:2" ht="15">
      <c r="B1771" s="181">
        <v>28.941157878904853</v>
      </c>
    </row>
    <row r="1772" spans="2:2" ht="15">
      <c r="B1772" s="181">
        <v>27.758593463291831</v>
      </c>
    </row>
    <row r="1773" spans="2:2" ht="15">
      <c r="B1773" s="181">
        <v>20.089856137345556</v>
      </c>
    </row>
    <row r="1774" spans="2:2" ht="15">
      <c r="B1774" s="181">
        <v>25.970606117681861</v>
      </c>
    </row>
    <row r="1775" spans="2:2" ht="15">
      <c r="B1775" s="181">
        <v>26.868934895020242</v>
      </c>
    </row>
    <row r="1776" spans="2:2" ht="15">
      <c r="B1776" s="181">
        <v>45.19103139632071</v>
      </c>
    </row>
    <row r="1777" spans="2:2" ht="15">
      <c r="B1777" s="181">
        <v>11.834345922482258</v>
      </c>
    </row>
    <row r="1778" spans="2:2" ht="15">
      <c r="B1778" s="181">
        <v>17.33366828676597</v>
      </c>
    </row>
    <row r="1779" spans="2:2" ht="15">
      <c r="B1779" s="181">
        <v>15.861012750948607</v>
      </c>
    </row>
    <row r="1780" spans="2:2" ht="15">
      <c r="B1780" s="181">
        <v>13.374782933608435</v>
      </c>
    </row>
    <row r="1781" spans="2:2" ht="15">
      <c r="B1781" s="181">
        <v>20.611256515171899</v>
      </c>
    </row>
    <row r="1782" spans="2:2" ht="15">
      <c r="B1782" s="181">
        <v>9.551022757540288</v>
      </c>
    </row>
    <row r="1783" spans="2:2" ht="15">
      <c r="B1783" s="181">
        <v>51.587196904591181</v>
      </c>
    </row>
    <row r="1784" spans="2:2" ht="15">
      <c r="B1784" s="181">
        <v>20.417085512845578</v>
      </c>
    </row>
    <row r="1785" spans="2:2" ht="15">
      <c r="B1785" s="181">
        <v>12.770961843067667</v>
      </c>
    </row>
    <row r="1786" spans="2:2" ht="15">
      <c r="B1786" s="181">
        <v>11.413827798569779</v>
      </c>
    </row>
    <row r="1787" spans="2:2" ht="15">
      <c r="B1787" s="181">
        <v>12.021331372774616</v>
      </c>
    </row>
    <row r="1788" spans="2:2" ht="15">
      <c r="B1788" s="181">
        <v>21.204784400343577</v>
      </c>
    </row>
    <row r="1789" spans="2:2" ht="15">
      <c r="B1789" s="181">
        <v>26.030629179268907</v>
      </c>
    </row>
    <row r="1790" spans="2:2" ht="15">
      <c r="B1790" s="181">
        <v>9.9232493055401854</v>
      </c>
    </row>
    <row r="1791" spans="2:2" ht="15">
      <c r="B1791" s="181">
        <v>31.433241248344324</v>
      </c>
    </row>
    <row r="1792" spans="2:2" ht="15">
      <c r="B1792" s="181">
        <v>11.763172999103494</v>
      </c>
    </row>
    <row r="1793" spans="2:2" ht="15">
      <c r="B1793" s="181">
        <v>28.800206697823331</v>
      </c>
    </row>
    <row r="1794" spans="2:2" ht="15">
      <c r="B1794" s="181">
        <v>11.15701468892213</v>
      </c>
    </row>
    <row r="1795" spans="2:2" ht="15">
      <c r="B1795" s="181">
        <v>20.373635645842921</v>
      </c>
    </row>
    <row r="1796" spans="2:2" ht="15">
      <c r="B1796" s="181">
        <v>22.438294176864318</v>
      </c>
    </row>
    <row r="1797" spans="2:2" ht="15">
      <c r="B1797" s="181">
        <v>9.0393982929231491</v>
      </c>
    </row>
    <row r="1798" spans="2:2" ht="15">
      <c r="B1798" s="181">
        <v>29.708212720786118</v>
      </c>
    </row>
    <row r="1799" spans="2:2" ht="15">
      <c r="B1799" s="181">
        <v>26.51498523179005</v>
      </c>
    </row>
    <row r="1800" spans="2:2" ht="15">
      <c r="B1800" s="181">
        <v>23.846756271467289</v>
      </c>
    </row>
    <row r="1801" spans="2:2" ht="15">
      <c r="B1801" s="181">
        <v>13.6625979500093</v>
      </c>
    </row>
    <row r="1802" spans="2:2" ht="15">
      <c r="B1802" s="181">
        <v>26.793143856909929</v>
      </c>
    </row>
    <row r="1803" spans="2:2" ht="15">
      <c r="B1803" s="181">
        <v>20.118853849903449</v>
      </c>
    </row>
    <row r="1804" spans="2:2" ht="15">
      <c r="B1804" s="181">
        <v>51.348416975540289</v>
      </c>
    </row>
    <row r="1805" spans="2:2" ht="15">
      <c r="B1805" s="181">
        <v>26.05639845443546</v>
      </c>
    </row>
    <row r="1806" spans="2:2" ht="15">
      <c r="B1806" s="181">
        <v>7.4186689181434202</v>
      </c>
    </row>
    <row r="1807" spans="2:2" ht="15">
      <c r="B1807" s="181">
        <v>37.612587621865231</v>
      </c>
    </row>
    <row r="1808" spans="2:2" ht="15">
      <c r="B1808" s="181">
        <v>16.097610571134481</v>
      </c>
    </row>
    <row r="1809" spans="2:2" ht="15">
      <c r="B1809" s="181">
        <v>11.165618155828989</v>
      </c>
    </row>
    <row r="1810" spans="2:2" ht="15">
      <c r="B1810" s="181">
        <v>36.23829498907746</v>
      </c>
    </row>
    <row r="1811" spans="2:2" ht="15">
      <c r="B1811" s="181">
        <v>25.420384139648171</v>
      </c>
    </row>
    <row r="1812" spans="2:2" ht="15">
      <c r="B1812" s="181">
        <v>12.763404284634376</v>
      </c>
    </row>
    <row r="1813" spans="2:2" ht="15">
      <c r="B1813" s="181">
        <v>27.83482498705234</v>
      </c>
    </row>
    <row r="1814" spans="2:2" ht="15">
      <c r="B1814" s="181">
        <v>18.673119126093642</v>
      </c>
    </row>
    <row r="1815" spans="2:2" ht="15">
      <c r="B1815" s="181">
        <v>11.184934830161529</v>
      </c>
    </row>
    <row r="1816" spans="2:2" ht="15">
      <c r="B1816" s="181">
        <v>11.182558069534817</v>
      </c>
    </row>
    <row r="1817" spans="2:2" ht="15">
      <c r="B1817" s="181">
        <v>12.111847722487697</v>
      </c>
    </row>
    <row r="1818" spans="2:2" ht="15">
      <c r="B1818" s="181">
        <v>8.442541102274669</v>
      </c>
    </row>
    <row r="1819" spans="2:2" ht="15">
      <c r="B1819" s="181">
        <v>8.7136687216421844</v>
      </c>
    </row>
    <row r="1820" spans="2:2" ht="15">
      <c r="B1820" s="181">
        <v>22.513522774329058</v>
      </c>
    </row>
    <row r="1821" spans="2:2" ht="15">
      <c r="B1821" s="181">
        <v>17.32261975495328</v>
      </c>
    </row>
    <row r="1822" spans="2:2" ht="15">
      <c r="B1822" s="181">
        <v>27.411365321325079</v>
      </c>
    </row>
    <row r="1823" spans="2:2" ht="15">
      <c r="B1823" s="181">
        <v>16.998490160393196</v>
      </c>
    </row>
    <row r="1824" spans="2:2" ht="15">
      <c r="B1824" s="181">
        <v>15.543665067165447</v>
      </c>
    </row>
    <row r="1825" spans="2:2" ht="15">
      <c r="B1825" s="181">
        <v>22.851161244376602</v>
      </c>
    </row>
    <row r="1826" spans="2:2" ht="15">
      <c r="B1826" s="181">
        <v>28.705929988000918</v>
      </c>
    </row>
    <row r="1827" spans="2:2" ht="15">
      <c r="B1827" s="181">
        <v>20.663937925721182</v>
      </c>
    </row>
    <row r="1828" spans="2:2" ht="15">
      <c r="B1828" s="181">
        <v>32.351817827003771</v>
      </c>
    </row>
    <row r="1829" spans="2:2" ht="15">
      <c r="B1829" s="181">
        <v>57.074328983633102</v>
      </c>
    </row>
    <row r="1830" spans="2:2" ht="15">
      <c r="B1830" s="181">
        <v>22.031596816806768</v>
      </c>
    </row>
    <row r="1831" spans="2:2" ht="15">
      <c r="B1831" s="181">
        <v>14.612243013830183</v>
      </c>
    </row>
    <row r="1832" spans="2:2" ht="15">
      <c r="B1832" s="181">
        <v>9.9819876428628103</v>
      </c>
    </row>
    <row r="1833" spans="2:2" ht="15">
      <c r="B1833" s="181">
        <v>10.429263467540741</v>
      </c>
    </row>
    <row r="1834" spans="2:2" ht="15">
      <c r="B1834" s="181">
        <v>15.306430614687233</v>
      </c>
    </row>
    <row r="1835" spans="2:2" ht="15">
      <c r="B1835" s="181">
        <v>16.623649073532178</v>
      </c>
    </row>
    <row r="1836" spans="2:2" ht="15">
      <c r="B1836" s="181">
        <v>10.442817876923435</v>
      </c>
    </row>
    <row r="1837" spans="2:2" ht="15">
      <c r="B1837" s="181">
        <v>27.313269273530146</v>
      </c>
    </row>
    <row r="1838" spans="2:2" ht="15">
      <c r="B1838" s="181">
        <v>14.685475655377532</v>
      </c>
    </row>
    <row r="1839" spans="2:2" ht="15">
      <c r="B1839" s="181">
        <v>41.285069798561679</v>
      </c>
    </row>
    <row r="1840" spans="2:2" ht="15">
      <c r="B1840" s="181">
        <v>24.200901606811044</v>
      </c>
    </row>
    <row r="1841" spans="2:2" ht="15">
      <c r="B1841" s="181">
        <v>6.2290220896423216</v>
      </c>
    </row>
    <row r="1842" spans="2:2" ht="15">
      <c r="B1842" s="181">
        <v>18.576171817910371</v>
      </c>
    </row>
    <row r="1843" spans="2:2" ht="15">
      <c r="B1843" s="181">
        <v>15.470734237664242</v>
      </c>
    </row>
    <row r="1844" spans="2:2" ht="15">
      <c r="B1844" s="181">
        <v>16.962023971273656</v>
      </c>
    </row>
    <row r="1845" spans="2:2" ht="15">
      <c r="B1845" s="181">
        <v>15.953230827700141</v>
      </c>
    </row>
    <row r="1846" spans="2:2" ht="15">
      <c r="B1846" s="181">
        <v>48.005669824571719</v>
      </c>
    </row>
    <row r="1847" spans="2:2" ht="15">
      <c r="B1847" s="181">
        <v>16.889527347020035</v>
      </c>
    </row>
    <row r="1848" spans="2:2" ht="15">
      <c r="B1848" s="181">
        <v>15.98808746286201</v>
      </c>
    </row>
    <row r="1849" spans="2:2" ht="15">
      <c r="B1849" s="181">
        <v>14.938178060220675</v>
      </c>
    </row>
    <row r="1850" spans="2:2" ht="15">
      <c r="B1850" s="181">
        <v>17.026981491806339</v>
      </c>
    </row>
    <row r="1851" spans="2:2" ht="15">
      <c r="B1851" s="181">
        <v>13.981684412424574</v>
      </c>
    </row>
    <row r="1852" spans="2:2" ht="15">
      <c r="B1852" s="181">
        <v>33.210109926537022</v>
      </c>
    </row>
    <row r="1853" spans="2:2" ht="15">
      <c r="B1853" s="181">
        <v>33.157849653245485</v>
      </c>
    </row>
    <row r="1854" spans="2:2" ht="15">
      <c r="B1854" s="181">
        <v>11.080607784131775</v>
      </c>
    </row>
    <row r="1855" spans="2:2" ht="15">
      <c r="B1855" s="181">
        <v>22.707161642062367</v>
      </c>
    </row>
    <row r="1856" spans="2:2" ht="15">
      <c r="B1856" s="181">
        <v>32.393148385226134</v>
      </c>
    </row>
    <row r="1857" spans="2:2" ht="15">
      <c r="B1857" s="181">
        <v>28.121657798830952</v>
      </c>
    </row>
    <row r="1858" spans="2:2" ht="15">
      <c r="B1858" s="181">
        <v>12.941776593893719</v>
      </c>
    </row>
    <row r="1859" spans="2:2" ht="15">
      <c r="B1859" s="181">
        <v>8.4734053208481779</v>
      </c>
    </row>
    <row r="1860" spans="2:2" ht="15">
      <c r="B1860" s="181">
        <v>22.387183270759529</v>
      </c>
    </row>
    <row r="1861" spans="2:2" ht="15">
      <c r="B1861" s="181">
        <v>10.62297127547196</v>
      </c>
    </row>
    <row r="1862" spans="2:2" ht="15">
      <c r="B1862" s="181">
        <v>22.307998992849789</v>
      </c>
    </row>
    <row r="1863" spans="2:2" ht="15">
      <c r="B1863" s="181">
        <v>30.302344241453781</v>
      </c>
    </row>
    <row r="1864" spans="2:2" ht="15">
      <c r="B1864" s="181">
        <v>4.0483052276641374</v>
      </c>
    </row>
    <row r="1865" spans="2:2" ht="15">
      <c r="B1865" s="181">
        <v>19.812067602239441</v>
      </c>
    </row>
    <row r="1866" spans="2:2" ht="15">
      <c r="B1866" s="181">
        <v>5.4493925182340197</v>
      </c>
    </row>
    <row r="1867" spans="2:2" ht="15">
      <c r="B1867" s="181">
        <v>17.954507844561824</v>
      </c>
    </row>
    <row r="1868" spans="2:2" ht="15">
      <c r="B1868" s="181">
        <v>11.001985114998638</v>
      </c>
    </row>
    <row r="1869" spans="2:2" ht="15">
      <c r="B1869" s="181">
        <v>24.157215245056136</v>
      </c>
    </row>
    <row r="1870" spans="2:2" ht="15">
      <c r="B1870" s="181">
        <v>9.6015578009419364</v>
      </c>
    </row>
    <row r="1871" spans="2:2" ht="15">
      <c r="B1871" s="181">
        <v>15.346147752857529</v>
      </c>
    </row>
    <row r="1872" spans="2:2" ht="15">
      <c r="B1872" s="181">
        <v>8.4093836099619672</v>
      </c>
    </row>
    <row r="1873" spans="2:2" ht="15">
      <c r="B1873" s="181">
        <v>26.537428390244393</v>
      </c>
    </row>
    <row r="1874" spans="2:2" ht="15">
      <c r="B1874" s="181">
        <v>29.6474148796683</v>
      </c>
    </row>
    <row r="1875" spans="2:2" ht="15">
      <c r="B1875" s="181">
        <v>23.242056633989559</v>
      </c>
    </row>
    <row r="1876" spans="2:2" ht="15">
      <c r="B1876" s="181">
        <v>37.92639109128541</v>
      </c>
    </row>
    <row r="1877" spans="2:2" ht="15">
      <c r="B1877" s="181">
        <v>12.194833707201052</v>
      </c>
    </row>
    <row r="1878" spans="2:2" ht="15">
      <c r="B1878" s="181">
        <v>13.469711373759685</v>
      </c>
    </row>
    <row r="1879" spans="2:2" ht="15">
      <c r="B1879" s="181">
        <v>19.563816422639572</v>
      </c>
    </row>
    <row r="1880" spans="2:2" ht="15">
      <c r="B1880" s="181">
        <v>40.935260315773597</v>
      </c>
    </row>
    <row r="1881" spans="2:2" ht="15">
      <c r="B1881" s="181">
        <v>12.196054467121556</v>
      </c>
    </row>
    <row r="1882" spans="2:2" ht="15">
      <c r="B1882" s="181">
        <v>22.140604030130412</v>
      </c>
    </row>
    <row r="1883" spans="2:2" ht="15">
      <c r="B1883" s="181">
        <v>19.521559757739869</v>
      </c>
    </row>
    <row r="1884" spans="2:2" ht="15">
      <c r="B1884" s="181">
        <v>13.929277384934197</v>
      </c>
    </row>
    <row r="1885" spans="2:2" ht="15">
      <c r="B1885" s="181">
        <v>36.991966757189211</v>
      </c>
    </row>
    <row r="1886" spans="2:2" ht="15">
      <c r="B1886" s="181">
        <v>21.904789568283242</v>
      </c>
    </row>
    <row r="1887" spans="2:2" ht="15">
      <c r="B1887" s="181">
        <v>17.378209820973975</v>
      </c>
    </row>
    <row r="1888" spans="2:2" ht="15">
      <c r="B1888" s="181">
        <v>17.108347718192299</v>
      </c>
    </row>
    <row r="1889" spans="2:2" ht="15">
      <c r="B1889" s="181">
        <v>17.676204659865633</v>
      </c>
    </row>
    <row r="1890" spans="2:2" ht="15">
      <c r="B1890" s="181">
        <v>21.20111464692847</v>
      </c>
    </row>
    <row r="1891" spans="2:2" ht="15">
      <c r="B1891" s="181">
        <v>8.3438903159829501</v>
      </c>
    </row>
    <row r="1892" spans="2:2" ht="15">
      <c r="B1892" s="181">
        <v>24.952795339433209</v>
      </c>
    </row>
    <row r="1893" spans="2:2" ht="15">
      <c r="B1893" s="181">
        <v>27.581750519310347</v>
      </c>
    </row>
    <row r="1894" spans="2:2" ht="15">
      <c r="B1894" s="181">
        <v>4.2664056221379782</v>
      </c>
    </row>
    <row r="1895" spans="2:2" ht="15">
      <c r="B1895" s="181">
        <v>34.459675211055689</v>
      </c>
    </row>
    <row r="1896" spans="2:2" ht="15">
      <c r="B1896" s="181">
        <v>29.447105280883815</v>
      </c>
    </row>
    <row r="1897" spans="2:2" ht="15">
      <c r="B1897" s="181">
        <v>10.91742561264981</v>
      </c>
    </row>
    <row r="1898" spans="2:2" ht="15">
      <c r="B1898" s="181">
        <v>7.9796378871478764</v>
      </c>
    </row>
    <row r="1899" spans="2:2" ht="15">
      <c r="B1899" s="181">
        <v>9.0006969708410125</v>
      </c>
    </row>
    <row r="1900" spans="2:2" ht="15">
      <c r="B1900" s="181">
        <v>4.3340987722050137</v>
      </c>
    </row>
    <row r="1901" spans="2:2" ht="15">
      <c r="B1901" s="181">
        <v>28.822872858928235</v>
      </c>
    </row>
    <row r="1902" spans="2:2" ht="15">
      <c r="B1902" s="181">
        <v>18.825104908390088</v>
      </c>
    </row>
    <row r="1903" spans="2:2" ht="15">
      <c r="B1903" s="181">
        <v>21.560097646927506</v>
      </c>
    </row>
    <row r="1904" spans="2:2" ht="15">
      <c r="B1904" s="181">
        <v>16.578233227804631</v>
      </c>
    </row>
    <row r="1905" spans="2:2" ht="15">
      <c r="B1905" s="181">
        <v>20.435595808162038</v>
      </c>
    </row>
    <row r="1906" spans="2:2" ht="15">
      <c r="B1906" s="181">
        <v>18.102981977069192</v>
      </c>
    </row>
    <row r="1907" spans="2:2" ht="15">
      <c r="B1907" s="181">
        <v>18.41761812262456</v>
      </c>
    </row>
    <row r="1908" spans="2:2" ht="15">
      <c r="B1908" s="181">
        <v>17.627123406864829</v>
      </c>
    </row>
    <row r="1909" spans="2:2" ht="15">
      <c r="B1909" s="181">
        <v>51.721470224944831</v>
      </c>
    </row>
    <row r="1910" spans="2:2" ht="15">
      <c r="B1910" s="181">
        <v>21.314626009711745</v>
      </c>
    </row>
    <row r="1911" spans="2:2" ht="15">
      <c r="B1911" s="181">
        <v>12.521708759849872</v>
      </c>
    </row>
    <row r="1912" spans="2:2" ht="15">
      <c r="B1912" s="181">
        <v>49.70978215009243</v>
      </c>
    </row>
    <row r="1913" spans="2:2" ht="15">
      <c r="B1913" s="181">
        <v>17.458723105966278</v>
      </c>
    </row>
    <row r="1914" spans="2:2" ht="15">
      <c r="B1914" s="181">
        <v>11.882710709664766</v>
      </c>
    </row>
    <row r="1915" spans="2:2" ht="15">
      <c r="B1915" s="181">
        <v>14.157558744604056</v>
      </c>
    </row>
    <row r="1916" spans="2:2" ht="15">
      <c r="B1916" s="181">
        <v>11.506812939093569</v>
      </c>
    </row>
    <row r="1917" spans="2:2" ht="15">
      <c r="B1917" s="181">
        <v>7.5594117283313995</v>
      </c>
    </row>
    <row r="1918" spans="2:2" ht="15">
      <c r="B1918" s="181">
        <v>13.731269714654218</v>
      </c>
    </row>
    <row r="1919" spans="2:2" ht="15">
      <c r="B1919" s="181">
        <v>10.63154368220891</v>
      </c>
    </row>
    <row r="1920" spans="2:2" ht="15">
      <c r="B1920" s="181">
        <v>24.963627154539001</v>
      </c>
    </row>
    <row r="1921" spans="2:2" ht="15">
      <c r="B1921" s="181">
        <v>11.30595291969294</v>
      </c>
    </row>
    <row r="1922" spans="2:2" ht="15">
      <c r="B1922" s="181">
        <v>16.313475710446561</v>
      </c>
    </row>
    <row r="1923" spans="2:2" ht="15">
      <c r="B1923" s="181">
        <v>18.834776895898315</v>
      </c>
    </row>
    <row r="1924" spans="2:2" ht="15">
      <c r="B1924" s="181">
        <v>32.35378067611579</v>
      </c>
    </row>
    <row r="1925" spans="2:2" ht="15">
      <c r="B1925" s="181">
        <v>27.81178119436392</v>
      </c>
    </row>
    <row r="1926" spans="2:2" ht="15">
      <c r="B1926" s="181">
        <v>13.200183968473379</v>
      </c>
    </row>
    <row r="1927" spans="2:2" ht="15">
      <c r="B1927" s="181">
        <v>16.495347247164496</v>
      </c>
    </row>
    <row r="1928" spans="2:2" ht="15">
      <c r="B1928" s="181">
        <v>18.807607020870741</v>
      </c>
    </row>
    <row r="1929" spans="2:2" ht="15">
      <c r="B1929" s="181">
        <v>8.839536229063361</v>
      </c>
    </row>
    <row r="1930" spans="2:2" ht="15">
      <c r="B1930" s="181">
        <v>9.0721025305537513</v>
      </c>
    </row>
    <row r="1931" spans="2:2" ht="15">
      <c r="B1931" s="181">
        <v>9.9124699267584102</v>
      </c>
    </row>
    <row r="1932" spans="2:2" ht="15">
      <c r="B1932" s="181">
        <v>12.992281410327406</v>
      </c>
    </row>
    <row r="1933" spans="2:2" ht="15">
      <c r="B1933" s="181">
        <v>15.154976425482449</v>
      </c>
    </row>
    <row r="1934" spans="2:2" ht="15">
      <c r="B1934" s="181">
        <v>9.9067554676885745</v>
      </c>
    </row>
    <row r="1935" spans="2:2" ht="15">
      <c r="B1935" s="181">
        <v>21.860538620259494</v>
      </c>
    </row>
    <row r="1936" spans="2:2" ht="15">
      <c r="B1936" s="181">
        <v>20.586615330320367</v>
      </c>
    </row>
    <row r="1937" spans="2:2" ht="15">
      <c r="B1937" s="181">
        <v>11.109199278755062</v>
      </c>
    </row>
    <row r="1938" spans="2:2" ht="15">
      <c r="B1938" s="181">
        <v>10.246879354747318</v>
      </c>
    </row>
    <row r="1939" spans="2:2" ht="15">
      <c r="B1939" s="181">
        <v>16.702212527800693</v>
      </c>
    </row>
    <row r="1940" spans="2:2" ht="15">
      <c r="B1940" s="181">
        <v>15.090877182275243</v>
      </c>
    </row>
    <row r="1941" spans="2:2" ht="15">
      <c r="B1941" s="181">
        <v>17.29071958508894</v>
      </c>
    </row>
    <row r="1942" spans="2:2" ht="15">
      <c r="B1942" s="181">
        <v>21.93618837112475</v>
      </c>
    </row>
    <row r="1943" spans="2:2" ht="15">
      <c r="B1943" s="181">
        <v>25.521919591229238</v>
      </c>
    </row>
    <row r="1944" spans="2:2" ht="15">
      <c r="B1944" s="181">
        <v>26.456320086841718</v>
      </c>
    </row>
    <row r="1945" spans="2:2" ht="15">
      <c r="B1945" s="181">
        <v>7.3735211418394826</v>
      </c>
    </row>
    <row r="1946" spans="2:2" ht="15">
      <c r="B1946" s="181">
        <v>26.808992913653391</v>
      </c>
    </row>
    <row r="1947" spans="2:2" ht="15">
      <c r="B1947" s="181">
        <v>22.670474708880075</v>
      </c>
    </row>
    <row r="1948" spans="2:2" ht="15">
      <c r="B1948" s="181">
        <v>16.974201716541515</v>
      </c>
    </row>
    <row r="1949" spans="2:2" ht="15">
      <c r="B1949" s="181">
        <v>12.62509079929386</v>
      </c>
    </row>
    <row r="1950" spans="2:2" ht="15">
      <c r="B1950" s="181">
        <v>16.796879496931503</v>
      </c>
    </row>
    <row r="1951" spans="2:2" ht="15">
      <c r="B1951" s="181">
        <v>12.76946375705594</v>
      </c>
    </row>
    <row r="1952" spans="2:2" ht="15">
      <c r="B1952" s="181">
        <v>59.531874790383846</v>
      </c>
    </row>
    <row r="1953" spans="2:2" ht="15">
      <c r="B1953" s="181">
        <v>15.755061179483505</v>
      </c>
    </row>
    <row r="1954" spans="2:2" ht="15">
      <c r="B1954" s="181">
        <v>55.281156912549612</v>
      </c>
    </row>
    <row r="1955" spans="2:2" ht="15">
      <c r="B1955" s="181">
        <v>24.391456785894523</v>
      </c>
    </row>
    <row r="1956" spans="2:2" ht="15">
      <c r="B1956" s="181">
        <v>19.543682677381952</v>
      </c>
    </row>
    <row r="1957" spans="2:2" ht="15">
      <c r="B1957" s="181">
        <v>34.346428048860801</v>
      </c>
    </row>
    <row r="1958" spans="2:2" ht="15">
      <c r="B1958" s="181">
        <v>11.244980389972699</v>
      </c>
    </row>
    <row r="1959" spans="2:2" ht="15">
      <c r="B1959" s="181">
        <v>14.036605994704901</v>
      </c>
    </row>
    <row r="1960" spans="2:2" ht="15">
      <c r="B1960" s="181">
        <v>22.932872407014443</v>
      </c>
    </row>
    <row r="1961" spans="2:2" ht="15">
      <c r="B1961" s="181">
        <v>6.2674020478814576</v>
      </c>
    </row>
    <row r="1962" spans="2:2" ht="15">
      <c r="B1962" s="181">
        <v>25.898280983125584</v>
      </c>
    </row>
    <row r="1963" spans="2:2" ht="15">
      <c r="B1963" s="181">
        <v>23.652295898377485</v>
      </c>
    </row>
    <row r="1964" spans="2:2" ht="15">
      <c r="B1964" s="181">
        <v>15.512310194502511</v>
      </c>
    </row>
    <row r="1965" spans="2:2" ht="15">
      <c r="B1965" s="181">
        <v>32.160960352916831</v>
      </c>
    </row>
    <row r="1966" spans="2:2" ht="15">
      <c r="B1966" s="181">
        <v>17.603030423353786</v>
      </c>
    </row>
    <row r="1967" spans="2:2" ht="15">
      <c r="B1967" s="181">
        <v>48.559928612789285</v>
      </c>
    </row>
    <row r="1968" spans="2:2" ht="15">
      <c r="B1968" s="181">
        <v>16.486067625308795</v>
      </c>
    </row>
    <row r="1969" spans="2:2" ht="15">
      <c r="B1969" s="181">
        <v>23.239186674010831</v>
      </c>
    </row>
    <row r="1970" spans="2:2" ht="15">
      <c r="B1970" s="181">
        <v>17.594777821752977</v>
      </c>
    </row>
    <row r="1971" spans="2:2" ht="15">
      <c r="B1971" s="181">
        <v>13.54049158377885</v>
      </c>
    </row>
    <row r="1972" spans="2:2" ht="15">
      <c r="B1972" s="181">
        <v>14.379521172494007</v>
      </c>
    </row>
    <row r="1973" spans="2:2" ht="15">
      <c r="B1973" s="181">
        <v>9.7920445595728314</v>
      </c>
    </row>
    <row r="1974" spans="2:2" ht="15">
      <c r="B1974" s="181">
        <v>65.400231828573197</v>
      </c>
    </row>
    <row r="1975" spans="2:2" ht="15">
      <c r="B1975" s="181">
        <v>9.2113755600358527</v>
      </c>
    </row>
    <row r="1976" spans="2:2" ht="15">
      <c r="B1976" s="181">
        <v>15.451520572560842</v>
      </c>
    </row>
    <row r="1977" spans="2:2" ht="15">
      <c r="B1977" s="181">
        <v>20.486593773100797</v>
      </c>
    </row>
    <row r="1978" spans="2:2" ht="15">
      <c r="B1978" s="181">
        <v>10.836847633843357</v>
      </c>
    </row>
    <row r="1979" spans="2:2" ht="15">
      <c r="B1979" s="181">
        <v>13.583782987197763</v>
      </c>
    </row>
    <row r="1980" spans="2:2" ht="15">
      <c r="B1980" s="181">
        <v>16.102435315862021</v>
      </c>
    </row>
    <row r="1981" spans="2:2" ht="15">
      <c r="B1981" s="181">
        <v>12.327580981546271</v>
      </c>
    </row>
    <row r="1982" spans="2:2" ht="15">
      <c r="B1982" s="181">
        <v>19.634626770580137</v>
      </c>
    </row>
    <row r="1983" spans="2:2" ht="15">
      <c r="B1983" s="181">
        <v>15.508720091006071</v>
      </c>
    </row>
    <row r="1984" spans="2:2" ht="15">
      <c r="B1984" s="181">
        <v>39.341879536734567</v>
      </c>
    </row>
    <row r="1985" spans="2:2" ht="15">
      <c r="B1985" s="181">
        <v>17.849355789260571</v>
      </c>
    </row>
    <row r="1986" spans="2:2" ht="15">
      <c r="B1986" s="181">
        <v>22.294207151753152</v>
      </c>
    </row>
    <row r="1987" spans="2:2" ht="15">
      <c r="B1987" s="181">
        <v>11.608869100774895</v>
      </c>
    </row>
    <row r="1988" spans="2:2" ht="15">
      <c r="B1988" s="181">
        <v>20.258065783299386</v>
      </c>
    </row>
    <row r="1989" spans="2:2" ht="15">
      <c r="B1989" s="181">
        <v>14.457466318060975</v>
      </c>
    </row>
    <row r="1990" spans="2:2" ht="15">
      <c r="B1990" s="181">
        <v>19.09928103200755</v>
      </c>
    </row>
    <row r="1991" spans="2:2" ht="15">
      <c r="B1991" s="181">
        <v>22.60693321178444</v>
      </c>
    </row>
    <row r="1992" spans="2:2" ht="15">
      <c r="B1992" s="181">
        <v>15.22514171008568</v>
      </c>
    </row>
    <row r="1993" spans="2:2" ht="15">
      <c r="B1993" s="181">
        <v>19.220064841690597</v>
      </c>
    </row>
    <row r="1994" spans="2:2" ht="15">
      <c r="B1994" s="181">
        <v>13.769196647625982</v>
      </c>
    </row>
    <row r="1995" spans="2:2" ht="15">
      <c r="B1995" s="181">
        <v>19.080383086923518</v>
      </c>
    </row>
    <row r="1996" spans="2:2" ht="15">
      <c r="B1996" s="181">
        <v>7.5449041712309208</v>
      </c>
    </row>
    <row r="1997" spans="2:2" ht="15">
      <c r="B1997" s="181">
        <v>14.804369656203139</v>
      </c>
    </row>
    <row r="1998" spans="2:2" ht="15">
      <c r="B1998" s="181">
        <v>33.01065830085583</v>
      </c>
    </row>
    <row r="1999" spans="2:2" ht="15">
      <c r="B1999" s="181">
        <v>9.3659868902255319</v>
      </c>
    </row>
    <row r="2000" spans="2:2" ht="15">
      <c r="B2000" s="181">
        <v>8.5533339448223131</v>
      </c>
    </row>
    <row r="2001" spans="2:2" ht="15">
      <c r="B2001" s="181">
        <v>12.433929039515803</v>
      </c>
    </row>
    <row r="2002" spans="2:2" ht="15">
      <c r="B2002" s="181">
        <v>28.928567854293473</v>
      </c>
    </row>
    <row r="2003" spans="2:2" ht="15">
      <c r="B2003" s="181">
        <v>8.4229496927213265</v>
      </c>
    </row>
    <row r="2004" spans="2:2" ht="15">
      <c r="B2004" s="181">
        <v>21.933433613152658</v>
      </c>
    </row>
    <row r="2005" spans="2:2" ht="15">
      <c r="B2005" s="181">
        <v>54.735266713499769</v>
      </c>
    </row>
    <row r="2006" spans="2:2" ht="15">
      <c r="B2006" s="181">
        <v>16.298684922271384</v>
      </c>
    </row>
    <row r="2007" spans="2:2" ht="15">
      <c r="B2007" s="181">
        <v>35.915725945387003</v>
      </c>
    </row>
    <row r="2008" spans="2:2" ht="15">
      <c r="B2008" s="181">
        <v>10.766177209801919</v>
      </c>
    </row>
    <row r="2009" spans="2:2" ht="15">
      <c r="B2009" s="181">
        <v>21.70882077473534</v>
      </c>
    </row>
    <row r="2010" spans="2:2" ht="15">
      <c r="B2010" s="181">
        <v>25.29454243760134</v>
      </c>
    </row>
    <row r="2011" spans="2:2" ht="15">
      <c r="B2011" s="181">
        <v>28.650449586754402</v>
      </c>
    </row>
    <row r="2012" spans="2:2" ht="15">
      <c r="B2012" s="181">
        <v>12.398354264798391</v>
      </c>
    </row>
    <row r="2013" spans="2:2" ht="15">
      <c r="B2013" s="181">
        <v>26.713260044201455</v>
      </c>
    </row>
    <row r="2014" spans="2:2" ht="15">
      <c r="B2014" s="181">
        <v>11.838951392325637</v>
      </c>
    </row>
    <row r="2015" spans="2:2" ht="15">
      <c r="B2015" s="181">
        <v>16.488705085063202</v>
      </c>
    </row>
    <row r="2016" spans="2:2" ht="15">
      <c r="B2016" s="181">
        <v>21.886676877392951</v>
      </c>
    </row>
    <row r="2017" spans="2:2" ht="15">
      <c r="B2017" s="181">
        <v>17.273048860708567</v>
      </c>
    </row>
    <row r="2018" spans="2:2" ht="15">
      <c r="B2018" s="181">
        <v>15.469305228610823</v>
      </c>
    </row>
    <row r="2019" spans="2:2" ht="15">
      <c r="B2019" s="181">
        <v>12.613494693797394</v>
      </c>
    </row>
    <row r="2020" spans="2:2" ht="15">
      <c r="B2020" s="181">
        <v>14.450860065172078</v>
      </c>
    </row>
    <row r="2021" spans="2:2" ht="15">
      <c r="B2021" s="181">
        <v>22.29398863440667</v>
      </c>
    </row>
    <row r="2022" spans="2:2" ht="15">
      <c r="B2022" s="181">
        <v>11.347681369302402</v>
      </c>
    </row>
    <row r="2023" spans="2:2" ht="15">
      <c r="B2023" s="181">
        <v>12.629502050426195</v>
      </c>
    </row>
    <row r="2024" spans="2:2" ht="15">
      <c r="B2024" s="181">
        <v>19.927168032063399</v>
      </c>
    </row>
    <row r="2025" spans="2:2" ht="15">
      <c r="B2025" s="181">
        <v>4.1003260390085234</v>
      </c>
    </row>
    <row r="2026" spans="2:2" ht="15">
      <c r="B2026" s="181">
        <v>12.520067925500975</v>
      </c>
    </row>
    <row r="2027" spans="2:2" ht="15">
      <c r="B2027" s="181">
        <v>8.8906385738706266</v>
      </c>
    </row>
    <row r="2028" spans="2:2" ht="15">
      <c r="B2028" s="181">
        <v>7.6331321990596868</v>
      </c>
    </row>
    <row r="2029" spans="2:2" ht="15">
      <c r="B2029" s="181">
        <v>5.5567767977801203</v>
      </c>
    </row>
    <row r="2030" spans="2:2" ht="15">
      <c r="B2030" s="181">
        <v>13.33103630277083</v>
      </c>
    </row>
    <row r="2031" spans="2:2" ht="15">
      <c r="B2031" s="181">
        <v>28.172857506148929</v>
      </c>
    </row>
    <row r="2032" spans="2:2" ht="15">
      <c r="B2032" s="181">
        <v>20.236526794149533</v>
      </c>
    </row>
    <row r="2033" spans="2:2" ht="15">
      <c r="B2033" s="181">
        <v>12.497779519576337</v>
      </c>
    </row>
    <row r="2034" spans="2:2" ht="15">
      <c r="B2034" s="181">
        <v>31.318566718568199</v>
      </c>
    </row>
    <row r="2035" spans="2:2" ht="15">
      <c r="B2035" s="181">
        <v>19.593765697911074</v>
      </c>
    </row>
    <row r="2036" spans="2:2" ht="15">
      <c r="B2036" s="181">
        <v>19.366725745487567</v>
      </c>
    </row>
    <row r="2037" spans="2:2" ht="15">
      <c r="B2037" s="181">
        <v>11.49391356170127</v>
      </c>
    </row>
    <row r="2038" spans="2:2" ht="15">
      <c r="B2038" s="181">
        <v>28.632021834785018</v>
      </c>
    </row>
    <row r="2039" spans="2:2" ht="15">
      <c r="B2039" s="181">
        <v>39.415448517920787</v>
      </c>
    </row>
    <row r="2040" spans="2:2" ht="15">
      <c r="B2040" s="181">
        <v>11.955965096550063</v>
      </c>
    </row>
    <row r="2041" spans="2:2" ht="15">
      <c r="B2041" s="181">
        <v>35.579730864878158</v>
      </c>
    </row>
    <row r="2042" spans="2:2" ht="15">
      <c r="B2042" s="181">
        <v>17.603330615010666</v>
      </c>
    </row>
    <row r="2043" spans="2:2" ht="15">
      <c r="B2043" s="181">
        <v>21.65063565005287</v>
      </c>
    </row>
    <row r="2044" spans="2:2" ht="15">
      <c r="B2044" s="181">
        <v>16.5555849887477</v>
      </c>
    </row>
    <row r="2045" spans="2:2" ht="15">
      <c r="B2045" s="181">
        <v>20.001216617233144</v>
      </c>
    </row>
    <row r="2046" spans="2:2" ht="15">
      <c r="B2046" s="181">
        <v>29.281014567849841</v>
      </c>
    </row>
    <row r="2047" spans="2:2" ht="15">
      <c r="B2047" s="181">
        <v>27.949965716635486</v>
      </c>
    </row>
    <row r="2048" spans="2:2" ht="15">
      <c r="B2048" s="181">
        <v>8.8275102732979196</v>
      </c>
    </row>
    <row r="2049" spans="2:2" ht="15">
      <c r="B2049" s="181">
        <v>20.55470259046254</v>
      </c>
    </row>
    <row r="2050" spans="2:2" ht="15">
      <c r="B2050" s="181">
        <v>12.80464798769537</v>
      </c>
    </row>
    <row r="2051" spans="2:2" ht="15">
      <c r="B2051" s="181">
        <v>52.703246784271577</v>
      </c>
    </row>
    <row r="2052" spans="2:2" ht="15">
      <c r="B2052" s="181">
        <v>34.867932332598158</v>
      </c>
    </row>
    <row r="2053" spans="2:2" ht="15">
      <c r="B2053" s="181">
        <v>17.172162765808867</v>
      </c>
    </row>
    <row r="2054" spans="2:2" ht="15">
      <c r="B2054" s="181">
        <v>32.803140774950982</v>
      </c>
    </row>
    <row r="2055" spans="2:2" ht="15">
      <c r="B2055" s="181">
        <v>26.872944436488677</v>
      </c>
    </row>
    <row r="2056" spans="2:2" ht="15">
      <c r="B2056" s="181">
        <v>16.284358937128911</v>
      </c>
    </row>
    <row r="2057" spans="2:2" ht="15">
      <c r="B2057" s="181">
        <v>8.3396389190336393</v>
      </c>
    </row>
    <row r="2058" spans="2:2" ht="15">
      <c r="B2058" s="181">
        <v>10.781062183768878</v>
      </c>
    </row>
    <row r="2059" spans="2:2" ht="15">
      <c r="B2059" s="181">
        <v>33.638108751828902</v>
      </c>
    </row>
    <row r="2060" spans="2:2" ht="15">
      <c r="B2060" s="181">
        <v>9.8356060752096219</v>
      </c>
    </row>
    <row r="2061" spans="2:2" ht="15">
      <c r="B2061" s="181">
        <v>15.198546838090794</v>
      </c>
    </row>
    <row r="2062" spans="2:2" ht="15">
      <c r="B2062" s="181">
        <v>21.050930142311753</v>
      </c>
    </row>
    <row r="2063" spans="2:2" ht="15">
      <c r="B2063" s="181">
        <v>12.775163972239644</v>
      </c>
    </row>
    <row r="2064" spans="2:2" ht="15">
      <c r="B2064" s="181">
        <v>22.943071182489948</v>
      </c>
    </row>
    <row r="2065" spans="2:2" ht="15">
      <c r="B2065" s="181">
        <v>18.044393134893628</v>
      </c>
    </row>
    <row r="2066" spans="2:2" ht="15">
      <c r="B2066" s="181">
        <v>39.20381185915177</v>
      </c>
    </row>
    <row r="2067" spans="2:2" ht="15">
      <c r="B2067" s="181">
        <v>7.1830168062395225</v>
      </c>
    </row>
    <row r="2068" spans="2:2" ht="15">
      <c r="B2068" s="181">
        <v>4.5062549629304751</v>
      </c>
    </row>
    <row r="2069" spans="2:2" ht="15">
      <c r="B2069" s="181">
        <v>16.173022588468882</v>
      </c>
    </row>
    <row r="2070" spans="2:2" ht="15">
      <c r="B2070" s="181">
        <v>13.613483469069445</v>
      </c>
    </row>
    <row r="2071" spans="2:2" ht="15">
      <c r="B2071" s="181">
        <v>15.475793733773042</v>
      </c>
    </row>
    <row r="2072" spans="2:2" ht="15">
      <c r="B2072" s="181">
        <v>15.63574466886997</v>
      </c>
    </row>
    <row r="2073" spans="2:2" ht="15">
      <c r="B2073" s="181">
        <v>12.434137949875891</v>
      </c>
    </row>
    <row r="2074" spans="2:2" ht="15">
      <c r="B2074" s="181">
        <v>10.101704447500257</v>
      </c>
    </row>
    <row r="2075" spans="2:2" ht="15">
      <c r="B2075" s="181">
        <v>24.417678259052902</v>
      </c>
    </row>
    <row r="2076" spans="2:2" ht="15">
      <c r="B2076" s="181">
        <v>12.439787536483246</v>
      </c>
    </row>
    <row r="2077" spans="2:2" ht="15">
      <c r="B2077" s="181">
        <v>17.303154294909763</v>
      </c>
    </row>
    <row r="2078" spans="2:2" ht="15">
      <c r="B2078" s="181">
        <v>13.429540697873989</v>
      </c>
    </row>
    <row r="2079" spans="2:2" ht="15">
      <c r="B2079" s="181">
        <v>9.420069417404461</v>
      </c>
    </row>
    <row r="2080" spans="2:2" ht="15">
      <c r="B2080" s="181">
        <v>13.418781421966006</v>
      </c>
    </row>
    <row r="2081" spans="2:2" ht="15">
      <c r="B2081" s="181">
        <v>25.379474895906249</v>
      </c>
    </row>
    <row r="2082" spans="2:2" ht="15">
      <c r="B2082" s="181">
        <v>25.251493649374282</v>
      </c>
    </row>
    <row r="2083" spans="2:2" ht="15">
      <c r="B2083" s="181">
        <v>16.431559404322414</v>
      </c>
    </row>
    <row r="2084" spans="2:2" ht="15">
      <c r="B2084" s="181">
        <v>9.4479372888571422</v>
      </c>
    </row>
    <row r="2085" spans="2:2" ht="15">
      <c r="B2085" s="181">
        <v>14.170076477674293</v>
      </c>
    </row>
    <row r="2086" spans="2:2" ht="15">
      <c r="B2086" s="181">
        <v>10.205679009993363</v>
      </c>
    </row>
    <row r="2087" spans="2:2" ht="15">
      <c r="B2087" s="181">
        <v>21.574690470318675</v>
      </c>
    </row>
    <row r="2088" spans="2:2" ht="15">
      <c r="B2088" s="181">
        <v>46.286566876896217</v>
      </c>
    </row>
    <row r="2089" spans="2:2" ht="15">
      <c r="B2089" s="181">
        <v>23.088318238572828</v>
      </c>
    </row>
    <row r="2090" spans="2:2" ht="15">
      <c r="B2090" s="181">
        <v>12.817938807882264</v>
      </c>
    </row>
    <row r="2091" spans="2:2" ht="15">
      <c r="B2091" s="181">
        <v>18.045626222075288</v>
      </c>
    </row>
    <row r="2092" spans="2:2" ht="15">
      <c r="B2092" s="181">
        <v>18.673102571411846</v>
      </c>
    </row>
    <row r="2093" spans="2:2" ht="15">
      <c r="B2093" s="181">
        <v>23.369750081298612</v>
      </c>
    </row>
    <row r="2094" spans="2:2" ht="15">
      <c r="B2094" s="181">
        <v>6.4419731633242501</v>
      </c>
    </row>
    <row r="2095" spans="2:2" ht="15">
      <c r="B2095" s="181">
        <v>9.3792592208051548</v>
      </c>
    </row>
    <row r="2096" spans="2:2" ht="15">
      <c r="B2096" s="181">
        <v>9.4329901104407909</v>
      </c>
    </row>
    <row r="2097" spans="2:2" ht="15">
      <c r="B2097" s="181">
        <v>15.004548768986137</v>
      </c>
    </row>
    <row r="2098" spans="2:2" ht="15">
      <c r="B2098" s="181">
        <v>19.531816922630895</v>
      </c>
    </row>
    <row r="2099" spans="2:2" ht="15">
      <c r="B2099" s="181">
        <v>18.298767610198002</v>
      </c>
    </row>
    <row r="2100" spans="2:2" ht="15">
      <c r="B2100" s="181">
        <v>9.0728228161486228</v>
      </c>
    </row>
    <row r="2101" spans="2:2" ht="15">
      <c r="B2101" s="181">
        <v>15.894571327301644</v>
      </c>
    </row>
    <row r="2102" spans="2:2" ht="15">
      <c r="B2102" s="181">
        <v>10.012121469439961</v>
      </c>
    </row>
    <row r="2103" spans="2:2" ht="15">
      <c r="B2103" s="181">
        <v>24.367186244664701</v>
      </c>
    </row>
    <row r="2104" spans="2:2" ht="15">
      <c r="B2104" s="181">
        <v>23.730660815272334</v>
      </c>
    </row>
    <row r="2105" spans="2:2" ht="15">
      <c r="B2105" s="181">
        <v>21.833887284808004</v>
      </c>
    </row>
    <row r="2106" spans="2:2" ht="15">
      <c r="B2106" s="181">
        <v>11.957994135327469</v>
      </c>
    </row>
    <row r="2107" spans="2:2" ht="15">
      <c r="B2107" s="181">
        <v>12.067172487366097</v>
      </c>
    </row>
    <row r="2108" spans="2:2" ht="15">
      <c r="B2108" s="181">
        <v>20.833641620923466</v>
      </c>
    </row>
    <row r="2109" spans="2:2" ht="15">
      <c r="B2109" s="181">
        <v>8.4208593324671064</v>
      </c>
    </row>
    <row r="2110" spans="2:2" ht="15">
      <c r="B2110" s="181">
        <v>23.127366676100376</v>
      </c>
    </row>
    <row r="2111" spans="2:2" ht="15">
      <c r="B2111" s="181">
        <v>9.7428598501116923</v>
      </c>
    </row>
    <row r="2112" spans="2:2" ht="15">
      <c r="B2112" s="181">
        <v>25.399910941799348</v>
      </c>
    </row>
    <row r="2113" spans="2:2" ht="15">
      <c r="B2113" s="181">
        <v>8.00840353750662</v>
      </c>
    </row>
    <row r="2114" spans="2:2" ht="15">
      <c r="B2114" s="181">
        <v>51.035116111094801</v>
      </c>
    </row>
    <row r="2115" spans="2:2" ht="15">
      <c r="B2115" s="181">
        <v>13.472820005997185</v>
      </c>
    </row>
    <row r="2116" spans="2:2" ht="15">
      <c r="B2116" s="181">
        <v>9.8209685951001973</v>
      </c>
    </row>
    <row r="2117" spans="2:2" ht="15">
      <c r="B2117" s="181">
        <v>18.293844860594092</v>
      </c>
    </row>
    <row r="2118" spans="2:2" ht="15">
      <c r="B2118" s="181">
        <v>21.249548823611054</v>
      </c>
    </row>
    <row r="2119" spans="2:2" ht="15">
      <c r="B2119" s="181">
        <v>13.393520282738175</v>
      </c>
    </row>
    <row r="2120" spans="2:2" ht="15">
      <c r="B2120" s="181">
        <v>6.8075461724783102</v>
      </c>
    </row>
    <row r="2121" spans="2:2" ht="15">
      <c r="B2121" s="181">
        <v>27.135299651504916</v>
      </c>
    </row>
    <row r="2122" spans="2:2" ht="15">
      <c r="B2122" s="181">
        <v>4.4510041453194047</v>
      </c>
    </row>
    <row r="2123" spans="2:2" ht="15">
      <c r="B2123" s="181">
        <v>28.48372302998991</v>
      </c>
    </row>
    <row r="2124" spans="2:2" ht="15">
      <c r="B2124" s="181">
        <v>36.499722962320362</v>
      </c>
    </row>
    <row r="2125" spans="2:2" ht="15">
      <c r="B2125" s="181">
        <v>12.958553979460026</v>
      </c>
    </row>
    <row r="2126" spans="2:2" ht="15">
      <c r="B2126" s="181">
        <v>34.098001636324604</v>
      </c>
    </row>
    <row r="2127" spans="2:2" ht="15">
      <c r="B2127" s="181">
        <v>27.180923643362817</v>
      </c>
    </row>
    <row r="2128" spans="2:2" ht="15">
      <c r="B2128" s="181">
        <v>6.2795912205969069</v>
      </c>
    </row>
    <row r="2129" spans="2:2" ht="15">
      <c r="B2129" s="181">
        <v>7.4819843276898084</v>
      </c>
    </row>
    <row r="2130" spans="2:2" ht="15">
      <c r="B2130" s="181">
        <v>34.847159115978265</v>
      </c>
    </row>
    <row r="2131" spans="2:2" ht="15">
      <c r="B2131" s="181">
        <v>26.034737769907224</v>
      </c>
    </row>
    <row r="2132" spans="2:2" ht="15">
      <c r="B2132" s="181">
        <v>34.215545202571661</v>
      </c>
    </row>
    <row r="2133" spans="2:2" ht="15">
      <c r="B2133" s="181">
        <v>11.042813911246775</v>
      </c>
    </row>
    <row r="2134" spans="2:2" ht="15">
      <c r="B2134" s="181">
        <v>59.129531386789111</v>
      </c>
    </row>
    <row r="2135" spans="2:2" ht="15">
      <c r="B2135" s="181">
        <v>20.287980696842244</v>
      </c>
    </row>
    <row r="2136" spans="2:2" ht="15">
      <c r="B2136" s="181">
        <v>22.123017833299905</v>
      </c>
    </row>
    <row r="2137" spans="2:2" ht="15">
      <c r="B2137" s="181">
        <v>30.818758625386746</v>
      </c>
    </row>
    <row r="2138" spans="2:2" ht="15">
      <c r="B2138" s="181">
        <v>9.9234761162049416</v>
      </c>
    </row>
    <row r="2139" spans="2:2" ht="15">
      <c r="B2139" s="181">
        <v>22.018424582364819</v>
      </c>
    </row>
    <row r="2140" spans="2:2" ht="15">
      <c r="B2140" s="181">
        <v>15.653906655712106</v>
      </c>
    </row>
    <row r="2141" spans="2:2" ht="15">
      <c r="B2141" s="181">
        <v>18.238318922943641</v>
      </c>
    </row>
    <row r="2142" spans="2:2" ht="15">
      <c r="B2142" s="181">
        <v>36.582137366273876</v>
      </c>
    </row>
    <row r="2143" spans="2:2" ht="15">
      <c r="B2143" s="181">
        <v>18.885763264245032</v>
      </c>
    </row>
    <row r="2144" spans="2:2" ht="15">
      <c r="B2144" s="181">
        <v>35.671634602576766</v>
      </c>
    </row>
    <row r="2145" spans="2:2" ht="15">
      <c r="B2145" s="181">
        <v>35.032438502753465</v>
      </c>
    </row>
    <row r="2146" spans="2:2" ht="15">
      <c r="B2146" s="181">
        <v>15.768805338007994</v>
      </c>
    </row>
    <row r="2147" spans="2:2" ht="15">
      <c r="B2147" s="181">
        <v>24.286383430935487</v>
      </c>
    </row>
    <row r="2148" spans="2:2" ht="15">
      <c r="B2148" s="181">
        <v>9.9646324052193318</v>
      </c>
    </row>
    <row r="2149" spans="2:2" ht="15">
      <c r="B2149" s="181">
        <v>17.210184996520301</v>
      </c>
    </row>
    <row r="2150" spans="2:2" ht="15">
      <c r="B2150" s="181">
        <v>14.394157162550917</v>
      </c>
    </row>
    <row r="2151" spans="2:2" ht="15">
      <c r="B2151" s="181">
        <v>35.175190034686608</v>
      </c>
    </row>
    <row r="2152" spans="2:2" ht="15">
      <c r="B2152" s="181">
        <v>14.967872476026391</v>
      </c>
    </row>
    <row r="2153" spans="2:2" ht="15">
      <c r="B2153" s="181">
        <v>30.377827674632144</v>
      </c>
    </row>
    <row r="2154" spans="2:2" ht="15">
      <c r="B2154" s="181">
        <v>6.0962364493978773</v>
      </c>
    </row>
    <row r="2155" spans="2:2" ht="15">
      <c r="B2155" s="181">
        <v>47.110199130188946</v>
      </c>
    </row>
    <row r="2156" spans="2:2" ht="15">
      <c r="B2156" s="181">
        <v>4.5160194353148935</v>
      </c>
    </row>
    <row r="2157" spans="2:2" ht="15">
      <c r="B2157" s="181">
        <v>25.632899169512672</v>
      </c>
    </row>
    <row r="2158" spans="2:2" ht="15">
      <c r="B2158" s="181">
        <v>19.5158999089731</v>
      </c>
    </row>
    <row r="2159" spans="2:2" ht="15">
      <c r="B2159" s="181">
        <v>5.027009570997591</v>
      </c>
    </row>
    <row r="2160" spans="2:2" ht="15">
      <c r="B2160" s="181">
        <v>12.455363417516292</v>
      </c>
    </row>
    <row r="2161" spans="2:2" ht="15">
      <c r="B2161" s="181">
        <v>16.281482961231895</v>
      </c>
    </row>
    <row r="2162" spans="2:2" ht="15">
      <c r="B2162" s="181">
        <v>34.540273077299645</v>
      </c>
    </row>
    <row r="2163" spans="2:2" ht="15">
      <c r="B2163" s="181">
        <v>31.655463928209684</v>
      </c>
    </row>
    <row r="2164" spans="2:2" ht="15">
      <c r="B2164" s="181">
        <v>20.462606472630128</v>
      </c>
    </row>
    <row r="2165" spans="2:2" ht="15">
      <c r="B2165" s="181">
        <v>5.2473718818288964</v>
      </c>
    </row>
    <row r="2166" spans="2:2" ht="15">
      <c r="B2166" s="181">
        <v>41.896316304768838</v>
      </c>
    </row>
    <row r="2167" spans="2:2" ht="15">
      <c r="B2167" s="181">
        <v>7.9196779768137828</v>
      </c>
    </row>
    <row r="2168" spans="2:2" ht="15">
      <c r="B2168" s="181">
        <v>11.988375787887994</v>
      </c>
    </row>
    <row r="2169" spans="2:2" ht="15">
      <c r="B2169" s="181">
        <v>12.370732955891622</v>
      </c>
    </row>
    <row r="2170" spans="2:2" ht="15">
      <c r="B2170" s="181">
        <v>15.64856422368095</v>
      </c>
    </row>
    <row r="2171" spans="2:2" ht="15">
      <c r="B2171" s="181">
        <v>7.2268108076884712</v>
      </c>
    </row>
    <row r="2172" spans="2:2" ht="15">
      <c r="B2172" s="181">
        <v>11.062368391833452</v>
      </c>
    </row>
    <row r="2173" spans="2:2" ht="15">
      <c r="B2173" s="181">
        <v>33.236878491892064</v>
      </c>
    </row>
    <row r="2174" spans="2:2" ht="15">
      <c r="B2174" s="181">
        <v>16.987808126297971</v>
      </c>
    </row>
    <row r="2175" spans="2:2" ht="15">
      <c r="B2175" s="181">
        <v>21.313410253108056</v>
      </c>
    </row>
    <row r="2176" spans="2:2" ht="15">
      <c r="B2176" s="181">
        <v>22.428157390978043</v>
      </c>
    </row>
    <row r="2177" spans="2:2" ht="15">
      <c r="B2177" s="181">
        <v>18.41097145509066</v>
      </c>
    </row>
    <row r="2178" spans="2:2" ht="15">
      <c r="B2178" s="181">
        <v>20.381086911085287</v>
      </c>
    </row>
    <row r="2179" spans="2:2" ht="15">
      <c r="B2179" s="181">
        <v>19.31684948482982</v>
      </c>
    </row>
    <row r="2180" spans="2:2" ht="15">
      <c r="B2180" s="181">
        <v>19.964341905508149</v>
      </c>
    </row>
    <row r="2181" spans="2:2" ht="15">
      <c r="B2181" s="181">
        <v>23.539724015420624</v>
      </c>
    </row>
    <row r="2182" spans="2:2" ht="15">
      <c r="B2182" s="181">
        <v>14.978619277912925</v>
      </c>
    </row>
    <row r="2183" spans="2:2" ht="15">
      <c r="B2183" s="181">
        <v>11.482122642658091</v>
      </c>
    </row>
    <row r="2184" spans="2:2" ht="15">
      <c r="B2184" s="181">
        <v>22.565726218602048</v>
      </c>
    </row>
    <row r="2185" spans="2:2" ht="15">
      <c r="B2185" s="181">
        <v>16.266473680437201</v>
      </c>
    </row>
    <row r="2186" spans="2:2" ht="15">
      <c r="B2186" s="181">
        <v>22.12197914289294</v>
      </c>
    </row>
    <row r="2187" spans="2:2" ht="15">
      <c r="B2187" s="181">
        <v>16.174077588654214</v>
      </c>
    </row>
    <row r="2188" spans="2:2" ht="15">
      <c r="B2188" s="181">
        <v>11.305744497719429</v>
      </c>
    </row>
    <row r="2189" spans="2:2" ht="15">
      <c r="B2189" s="181">
        <v>22.550887259356184</v>
      </c>
    </row>
    <row r="2190" spans="2:2" ht="15">
      <c r="B2190" s="181">
        <v>36.452962803592541</v>
      </c>
    </row>
    <row r="2191" spans="2:2" ht="15">
      <c r="B2191" s="181">
        <v>23.45615197960511</v>
      </c>
    </row>
    <row r="2192" spans="2:2" ht="15">
      <c r="B2192" s="181">
        <v>6.169135690542487</v>
      </c>
    </row>
    <row r="2193" spans="2:2" ht="15">
      <c r="B2193" s="181">
        <v>7.738701186514267</v>
      </c>
    </row>
    <row r="2194" spans="2:2" ht="15">
      <c r="B2194" s="181">
        <v>24.410825422864288</v>
      </c>
    </row>
    <row r="2195" spans="2:2" ht="15">
      <c r="B2195" s="181">
        <v>16.305395180937328</v>
      </c>
    </row>
    <row r="2196" spans="2:2" ht="15">
      <c r="B2196" s="181">
        <v>23.947603276283235</v>
      </c>
    </row>
    <row r="2197" spans="2:2" ht="15">
      <c r="B2197" s="181">
        <v>11.381425005946461</v>
      </c>
    </row>
    <row r="2198" spans="2:2" ht="15">
      <c r="B2198" s="181">
        <v>21.638980357619637</v>
      </c>
    </row>
    <row r="2199" spans="2:2" ht="15">
      <c r="B2199" s="181">
        <v>6.8010507578996515</v>
      </c>
    </row>
    <row r="2200" spans="2:2" ht="15">
      <c r="B2200" s="181">
        <v>13.212532259546427</v>
      </c>
    </row>
    <row r="2201" spans="2:2" ht="15">
      <c r="B2201" s="181">
        <v>33.873304321266325</v>
      </c>
    </row>
    <row r="2202" spans="2:2" ht="15">
      <c r="B2202" s="181">
        <v>11.615796186736233</v>
      </c>
    </row>
    <row r="2203" spans="2:2" ht="15">
      <c r="B2203" s="181">
        <v>19.748247468956933</v>
      </c>
    </row>
    <row r="2204" spans="2:2" ht="15">
      <c r="B2204" s="181">
        <v>21.979791906571059</v>
      </c>
    </row>
    <row r="2205" spans="2:2" ht="15">
      <c r="B2205" s="181">
        <v>27.96661596929604</v>
      </c>
    </row>
    <row r="2206" spans="2:2" ht="15">
      <c r="B2206" s="181">
        <v>29.968239151194592</v>
      </c>
    </row>
    <row r="2207" spans="2:2" ht="15">
      <c r="B2207" s="181">
        <v>20.9189283680094</v>
      </c>
    </row>
    <row r="2208" spans="2:2" ht="15">
      <c r="B2208" s="181">
        <v>19.547393039241189</v>
      </c>
    </row>
    <row r="2209" spans="2:2" ht="15">
      <c r="B2209" s="181">
        <v>12.952913958023487</v>
      </c>
    </row>
    <row r="2210" spans="2:2" ht="15">
      <c r="B2210" s="181">
        <v>21.230240158765586</v>
      </c>
    </row>
    <row r="2211" spans="2:2" ht="15">
      <c r="B2211" s="181">
        <v>49.495090640270583</v>
      </c>
    </row>
    <row r="2212" spans="2:2" ht="15">
      <c r="B2212" s="181">
        <v>33.044667521714381</v>
      </c>
    </row>
    <row r="2213" spans="2:2" ht="15">
      <c r="B2213" s="181">
        <v>13.825895952255312</v>
      </c>
    </row>
    <row r="2214" spans="2:2" ht="15">
      <c r="B2214" s="181">
        <v>18.09623539409548</v>
      </c>
    </row>
    <row r="2215" spans="2:2" ht="15">
      <c r="B2215" s="181">
        <v>17.675491669306158</v>
      </c>
    </row>
    <row r="2216" spans="2:2" ht="15">
      <c r="B2216" s="181">
        <v>4.8847348879886709</v>
      </c>
    </row>
    <row r="2217" spans="2:2" ht="15">
      <c r="B2217" s="181">
        <v>22.84681318411192</v>
      </c>
    </row>
    <row r="2218" spans="2:2" ht="15">
      <c r="B2218" s="181">
        <v>9.2363375066806963</v>
      </c>
    </row>
    <row r="2219" spans="2:2" ht="15">
      <c r="B2219" s="181">
        <v>14.34586681599588</v>
      </c>
    </row>
    <row r="2220" spans="2:2" ht="15">
      <c r="B2220" s="181">
        <v>10.794031714668277</v>
      </c>
    </row>
    <row r="2221" spans="2:2" ht="15">
      <c r="B2221" s="181">
        <v>27.135547147288079</v>
      </c>
    </row>
    <row r="2222" spans="2:2" ht="15">
      <c r="B2222" s="181">
        <v>14.24512616122148</v>
      </c>
    </row>
    <row r="2223" spans="2:2" ht="15">
      <c r="B2223" s="181">
        <v>16.106978672027825</v>
      </c>
    </row>
    <row r="2224" spans="2:2" ht="15">
      <c r="B2224" s="181">
        <v>21.030271149928179</v>
      </c>
    </row>
    <row r="2225" spans="2:2" ht="15">
      <c r="B2225" s="181">
        <v>27.050707584572628</v>
      </c>
    </row>
    <row r="2226" spans="2:2" ht="15">
      <c r="B2226" s="181">
        <v>18.458703641905085</v>
      </c>
    </row>
    <row r="2227" spans="2:2" ht="15">
      <c r="B2227" s="181">
        <v>40.062545986689827</v>
      </c>
    </row>
    <row r="2228" spans="2:2" ht="15">
      <c r="B2228" s="181">
        <v>16.358868657309497</v>
      </c>
    </row>
    <row r="2229" spans="2:2" ht="15">
      <c r="B2229" s="181">
        <v>11.842124256885961</v>
      </c>
    </row>
    <row r="2230" spans="2:2" ht="15">
      <c r="B2230" s="181">
        <v>4.727208627629099</v>
      </c>
    </row>
    <row r="2231" spans="2:2" ht="15">
      <c r="B2231" s="181">
        <v>29.892513247435705</v>
      </c>
    </row>
    <row r="2232" spans="2:2" ht="15">
      <c r="B2232" s="181">
        <v>15.333074903296238</v>
      </c>
    </row>
    <row r="2233" spans="2:2" ht="15">
      <c r="B2233" s="181">
        <v>15.817931241709653</v>
      </c>
    </row>
    <row r="2234" spans="2:2" ht="15">
      <c r="B2234" s="181">
        <v>23.058786831365396</v>
      </c>
    </row>
    <row r="2235" spans="2:2" ht="15">
      <c r="B2235" s="181">
        <v>39.449319421350793</v>
      </c>
    </row>
    <row r="2236" spans="2:2" ht="15">
      <c r="B2236" s="181">
        <v>44.518183440430214</v>
      </c>
    </row>
    <row r="2237" spans="2:2" ht="15">
      <c r="B2237" s="181">
        <v>31.361422058661883</v>
      </c>
    </row>
    <row r="2238" spans="2:2" ht="15">
      <c r="B2238" s="181">
        <v>38.243981374944681</v>
      </c>
    </row>
    <row r="2239" spans="2:2" ht="15">
      <c r="B2239" s="181">
        <v>12.343219410845517</v>
      </c>
    </row>
    <row r="2240" spans="2:2" ht="15">
      <c r="B2240" s="181">
        <v>15.734214247949858</v>
      </c>
    </row>
    <row r="2241" spans="2:2" ht="15">
      <c r="B2241" s="181">
        <v>17.653134295057178</v>
      </c>
    </row>
    <row r="2242" spans="2:2" ht="15">
      <c r="B2242" s="181">
        <v>9.0354389403930675</v>
      </c>
    </row>
    <row r="2243" spans="2:2" ht="15">
      <c r="B2243" s="181">
        <v>3.9525724629183108</v>
      </c>
    </row>
    <row r="2244" spans="2:2" ht="15">
      <c r="B2244" s="181">
        <v>26.804729616762081</v>
      </c>
    </row>
    <row r="2245" spans="2:2" ht="15">
      <c r="B2245" s="181">
        <v>15.095052092018182</v>
      </c>
    </row>
    <row r="2246" spans="2:2" ht="15">
      <c r="B2246" s="181">
        <v>26.441822422506107</v>
      </c>
    </row>
    <row r="2247" spans="2:2" ht="15">
      <c r="B2247" s="181">
        <v>27.614011247407781</v>
      </c>
    </row>
    <row r="2248" spans="2:2" ht="15">
      <c r="B2248" s="181">
        <v>21.942745805776546</v>
      </c>
    </row>
    <row r="2249" spans="2:2" ht="15">
      <c r="B2249" s="181">
        <v>31.90858032122209</v>
      </c>
    </row>
    <row r="2250" spans="2:2" ht="15">
      <c r="B2250" s="181">
        <v>18.322627955892429</v>
      </c>
    </row>
    <row r="2251" spans="2:2" ht="15">
      <c r="B2251" s="181">
        <v>28.588585016692495</v>
      </c>
    </row>
    <row r="2252" spans="2:2" ht="15">
      <c r="B2252" s="181">
        <v>8.8366278756427423</v>
      </c>
    </row>
    <row r="2253" spans="2:2" ht="15">
      <c r="B2253" s="181">
        <v>19.145942823674584</v>
      </c>
    </row>
    <row r="2254" spans="2:2" ht="15">
      <c r="B2254" s="181">
        <v>16.489838827412377</v>
      </c>
    </row>
    <row r="2255" spans="2:2" ht="15">
      <c r="B2255" s="181">
        <v>7.5200989450030313</v>
      </c>
    </row>
    <row r="2256" spans="2:2" ht="15">
      <c r="B2256" s="181">
        <v>22.181687899536694</v>
      </c>
    </row>
    <row r="2257" spans="2:2" ht="15">
      <c r="B2257" s="181">
        <v>41.035821150130054</v>
      </c>
    </row>
    <row r="2258" spans="2:2" ht="15">
      <c r="B2258" s="181">
        <v>19.004281717651015</v>
      </c>
    </row>
    <row r="2259" spans="2:2" ht="15">
      <c r="B2259" s="181">
        <v>10.802462727597137</v>
      </c>
    </row>
    <row r="2260" spans="2:2" ht="15">
      <c r="B2260" s="181">
        <v>13.616882384544988</v>
      </c>
    </row>
    <row r="2261" spans="2:2" ht="15">
      <c r="B2261" s="181">
        <v>10.820317765103725</v>
      </c>
    </row>
    <row r="2262" spans="2:2" ht="15">
      <c r="B2262" s="181">
        <v>31.779616933724714</v>
      </c>
    </row>
    <row r="2263" spans="2:2" ht="15">
      <c r="B2263" s="181">
        <v>16.28130608573629</v>
      </c>
    </row>
    <row r="2264" spans="2:2" ht="15">
      <c r="B2264" s="181">
        <v>11.04758724911378</v>
      </c>
    </row>
    <row r="2265" spans="2:2" ht="15">
      <c r="B2265" s="181">
        <v>21.837461485299546</v>
      </c>
    </row>
    <row r="2266" spans="2:2" ht="15">
      <c r="B2266" s="181">
        <v>6.5362670835897063</v>
      </c>
    </row>
    <row r="2267" spans="2:2" ht="15">
      <c r="B2267" s="181">
        <v>33.307392556068393</v>
      </c>
    </row>
    <row r="2268" spans="2:2" ht="15">
      <c r="B2268" s="181">
        <v>27.672032381102781</v>
      </c>
    </row>
    <row r="2269" spans="2:2" ht="15">
      <c r="B2269" s="181">
        <v>10.881075081881818</v>
      </c>
    </row>
    <row r="2270" spans="2:2" ht="15">
      <c r="B2270" s="181">
        <v>22.31589237310175</v>
      </c>
    </row>
    <row r="2271" spans="2:2" ht="15">
      <c r="B2271" s="181">
        <v>25.71225175646412</v>
      </c>
    </row>
    <row r="2272" spans="2:2" ht="15">
      <c r="B2272" s="181">
        <v>14.637967101052546</v>
      </c>
    </row>
    <row r="2273" spans="2:2" ht="15">
      <c r="B2273" s="181">
        <v>8.448301607684062</v>
      </c>
    </row>
    <row r="2274" spans="2:2" ht="15">
      <c r="B2274" s="181">
        <v>18.693017949607057</v>
      </c>
    </row>
    <row r="2275" spans="2:2" ht="15">
      <c r="B2275" s="181">
        <v>8.7981493347328072</v>
      </c>
    </row>
    <row r="2276" spans="2:2" ht="15">
      <c r="B2276" s="181">
        <v>9.2997064030808634</v>
      </c>
    </row>
    <row r="2277" spans="2:2" ht="15">
      <c r="B2277" s="181">
        <v>11.527175155271053</v>
      </c>
    </row>
    <row r="2278" spans="2:2" ht="15">
      <c r="B2278" s="181">
        <v>16.650936600637522</v>
      </c>
    </row>
    <row r="2279" spans="2:2" ht="15">
      <c r="B2279" s="181">
        <v>22.417550191954717</v>
      </c>
    </row>
    <row r="2280" spans="2:2" ht="15">
      <c r="B2280" s="181">
        <v>12.580085461212041</v>
      </c>
    </row>
    <row r="2281" spans="2:2" ht="15">
      <c r="B2281" s="181">
        <v>12.786355479018306</v>
      </c>
    </row>
    <row r="2282" spans="2:2" ht="15">
      <c r="B2282" s="181">
        <v>12.437074152025337</v>
      </c>
    </row>
    <row r="2283" spans="2:2" ht="15">
      <c r="B2283" s="181">
        <v>20.92136351561518</v>
      </c>
    </row>
    <row r="2284" spans="2:2" ht="15">
      <c r="B2284" s="181">
        <v>22.540218469426492</v>
      </c>
    </row>
    <row r="2285" spans="2:2" ht="15">
      <c r="B2285" s="181">
        <v>24.386928110639975</v>
      </c>
    </row>
    <row r="2286" spans="2:2" ht="15">
      <c r="B2286" s="181">
        <v>7.7614664706844883</v>
      </c>
    </row>
    <row r="2287" spans="2:2" ht="15">
      <c r="B2287" s="181">
        <v>25.994466106240033</v>
      </c>
    </row>
    <row r="2288" spans="2:2" ht="15">
      <c r="B2288" s="181">
        <v>26.68830256475314</v>
      </c>
    </row>
    <row r="2289" spans="2:2" ht="15">
      <c r="B2289" s="181">
        <v>7.1134526475344684</v>
      </c>
    </row>
    <row r="2290" spans="2:2" ht="15">
      <c r="B2290" s="181">
        <v>17.591724324618252</v>
      </c>
    </row>
    <row r="2291" spans="2:2" ht="15">
      <c r="B2291" s="181">
        <v>5.8275845959923096</v>
      </c>
    </row>
    <row r="2292" spans="2:2" ht="15">
      <c r="B2292" s="181">
        <v>6.1900241285749953</v>
      </c>
    </row>
    <row r="2293" spans="2:2" ht="15">
      <c r="B2293" s="181">
        <v>11.642895332849356</v>
      </c>
    </row>
    <row r="2294" spans="2:2" ht="15">
      <c r="B2294" s="181">
        <v>19.468834067893479</v>
      </c>
    </row>
    <row r="2295" spans="2:2" ht="15">
      <c r="B2295" s="181">
        <v>16.292096962433209</v>
      </c>
    </row>
    <row r="2296" spans="2:2" ht="15">
      <c r="B2296" s="181">
        <v>17.487937781261138</v>
      </c>
    </row>
    <row r="2297" spans="2:2" ht="15">
      <c r="B2297" s="181">
        <v>10.776516277772215</v>
      </c>
    </row>
    <row r="2298" spans="2:2" ht="15">
      <c r="B2298" s="181">
        <v>26.704047199603004</v>
      </c>
    </row>
    <row r="2299" spans="2:2" ht="15">
      <c r="B2299" s="181">
        <v>15.273773904086958</v>
      </c>
    </row>
    <row r="2300" spans="2:2" ht="15">
      <c r="B2300" s="181">
        <v>19.186118747156645</v>
      </c>
    </row>
    <row r="2301" spans="2:2" ht="15">
      <c r="B2301" s="181">
        <v>12.111610765096058</v>
      </c>
    </row>
    <row r="2302" spans="2:2" ht="15">
      <c r="B2302" s="181">
        <v>24.606051972530473</v>
      </c>
    </row>
    <row r="2303" spans="2:2" ht="15">
      <c r="B2303" s="181">
        <v>6.5090068279458517</v>
      </c>
    </row>
    <row r="2304" spans="2:2" ht="15">
      <c r="B2304" s="181">
        <v>17.512839164929922</v>
      </c>
    </row>
    <row r="2305" spans="2:2" ht="15">
      <c r="B2305" s="181">
        <v>23.2897528544963</v>
      </c>
    </row>
    <row r="2306" spans="2:2" ht="15">
      <c r="B2306" s="181">
        <v>7.1714802051408704</v>
      </c>
    </row>
    <row r="2307" spans="2:2" ht="15">
      <c r="B2307" s="181">
        <v>28.404772817765128</v>
      </c>
    </row>
    <row r="2308" spans="2:2" ht="15">
      <c r="B2308" s="181">
        <v>11.951507917876329</v>
      </c>
    </row>
    <row r="2309" spans="2:2" ht="15">
      <c r="B2309" s="181">
        <v>10.474268317252211</v>
      </c>
    </row>
    <row r="2310" spans="2:2" ht="15">
      <c r="B2310" s="181">
        <v>15.705916228025684</v>
      </c>
    </row>
    <row r="2311" spans="2:2" ht="15">
      <c r="B2311" s="181">
        <v>20.488046374844853</v>
      </c>
    </row>
    <row r="2312" spans="2:2" ht="15">
      <c r="B2312" s="181">
        <v>18.172057234755719</v>
      </c>
    </row>
    <row r="2313" spans="2:2" ht="15">
      <c r="B2313" s="181">
        <v>21.074105780472141</v>
      </c>
    </row>
    <row r="2314" spans="2:2" ht="15">
      <c r="B2314" s="181">
        <v>24.724726174652936</v>
      </c>
    </row>
    <row r="2315" spans="2:2" ht="15">
      <c r="B2315" s="181">
        <v>23.104984770650375</v>
      </c>
    </row>
    <row r="2316" spans="2:2" ht="15">
      <c r="B2316" s="181">
        <v>23.744864654590884</v>
      </c>
    </row>
    <row r="2317" spans="2:2" ht="15">
      <c r="B2317" s="181">
        <v>12.333960397733509</v>
      </c>
    </row>
    <row r="2318" spans="2:2" ht="15">
      <c r="B2318" s="181">
        <v>18.904980374571629</v>
      </c>
    </row>
    <row r="2319" spans="2:2" ht="15">
      <c r="B2319" s="181">
        <v>33.77090562867469</v>
      </c>
    </row>
    <row r="2320" spans="2:2" ht="15">
      <c r="B2320" s="181">
        <v>21.574116224061804</v>
      </c>
    </row>
    <row r="2321" spans="2:2" ht="15">
      <c r="B2321" s="181">
        <v>48.133973070039843</v>
      </c>
    </row>
    <row r="2322" spans="2:2" ht="15">
      <c r="B2322" s="181">
        <v>37.083733927202054</v>
      </c>
    </row>
    <row r="2323" spans="2:2" ht="15">
      <c r="B2323" s="181">
        <v>26.278977577138093</v>
      </c>
    </row>
    <row r="2324" spans="2:2" ht="15">
      <c r="B2324" s="181">
        <v>18.840991420162009</v>
      </c>
    </row>
    <row r="2325" spans="2:2" ht="15">
      <c r="B2325" s="181">
        <v>14.845420707088595</v>
      </c>
    </row>
    <row r="2326" spans="2:2" ht="15">
      <c r="B2326" s="181">
        <v>17.948528583883004</v>
      </c>
    </row>
    <row r="2327" spans="2:2" ht="15">
      <c r="B2327" s="181">
        <v>26.656201585483057</v>
      </c>
    </row>
    <row r="2328" spans="2:2" ht="15">
      <c r="B2328" s="181">
        <v>9.4501388606585088</v>
      </c>
    </row>
    <row r="2329" spans="2:2" ht="15">
      <c r="B2329" s="181">
        <v>17.143546758354365</v>
      </c>
    </row>
    <row r="2330" spans="2:2" ht="15">
      <c r="B2330" s="181">
        <v>35.770098205096453</v>
      </c>
    </row>
    <row r="2331" spans="2:2" ht="15">
      <c r="B2331" s="181">
        <v>6.9575946367371522</v>
      </c>
    </row>
    <row r="2332" spans="2:2" ht="15">
      <c r="B2332" s="181">
        <v>16.81135894049067</v>
      </c>
    </row>
    <row r="2333" spans="2:2" ht="15">
      <c r="B2333" s="181">
        <v>25.530119347335798</v>
      </c>
    </row>
    <row r="2334" spans="2:2" ht="15">
      <c r="B2334" s="181">
        <v>13.371976245103376</v>
      </c>
    </row>
    <row r="2335" spans="2:2" ht="15">
      <c r="B2335" s="181">
        <v>18.123024600679738</v>
      </c>
    </row>
    <row r="2336" spans="2:2" ht="15">
      <c r="B2336" s="181">
        <v>21.941509466662765</v>
      </c>
    </row>
    <row r="2337" spans="2:2" ht="15">
      <c r="B2337" s="181">
        <v>26.99192328415679</v>
      </c>
    </row>
    <row r="2338" spans="2:2" ht="15">
      <c r="B2338" s="181">
        <v>14.879368046771559</v>
      </c>
    </row>
    <row r="2339" spans="2:2" ht="15">
      <c r="B2339" s="181">
        <v>25.330839522339421</v>
      </c>
    </row>
    <row r="2340" spans="2:2" ht="15">
      <c r="B2340" s="181">
        <v>34.013606119436815</v>
      </c>
    </row>
    <row r="2341" spans="2:2" ht="15">
      <c r="B2341" s="181">
        <v>36.375215722104286</v>
      </c>
    </row>
    <row r="2342" spans="2:2" ht="15">
      <c r="B2342" s="181">
        <v>7.0562680453328044</v>
      </c>
    </row>
    <row r="2343" spans="2:2" ht="15">
      <c r="B2343" s="181">
        <v>19.68245999272774</v>
      </c>
    </row>
    <row r="2344" spans="2:2" ht="15">
      <c r="B2344" s="181">
        <v>24.774909312215598</v>
      </c>
    </row>
    <row r="2345" spans="2:2" ht="15">
      <c r="B2345" s="181">
        <v>17.110431290824028</v>
      </c>
    </row>
    <row r="2346" spans="2:2" ht="15">
      <c r="B2346" s="181">
        <v>22.296468171488662</v>
      </c>
    </row>
    <row r="2347" spans="2:2" ht="15">
      <c r="B2347" s="181">
        <v>17.587146648703193</v>
      </c>
    </row>
    <row r="2348" spans="2:2" ht="15">
      <c r="B2348" s="181">
        <v>36.282631324004441</v>
      </c>
    </row>
    <row r="2349" spans="2:2" ht="15">
      <c r="B2349" s="181">
        <v>33.366218712294142</v>
      </c>
    </row>
    <row r="2350" spans="2:2" ht="15">
      <c r="B2350" s="181">
        <v>25.141986648546649</v>
      </c>
    </row>
    <row r="2351" spans="2:2" ht="15">
      <c r="B2351" s="181">
        <v>12.72932671663902</v>
      </c>
    </row>
    <row r="2352" spans="2:2" ht="15">
      <c r="B2352" s="181">
        <v>32.721373112312143</v>
      </c>
    </row>
    <row r="2353" spans="2:2" ht="15">
      <c r="B2353" s="181">
        <v>22.14135878998243</v>
      </c>
    </row>
    <row r="2354" spans="2:2" ht="15">
      <c r="B2354" s="181">
        <v>23.099291776583247</v>
      </c>
    </row>
    <row r="2355" spans="2:2" ht="15">
      <c r="B2355" s="181">
        <v>21.217197875364423</v>
      </c>
    </row>
    <row r="2356" spans="2:2" ht="15">
      <c r="B2356" s="181">
        <v>34.423075167989495</v>
      </c>
    </row>
    <row r="2357" spans="2:2" ht="15">
      <c r="B2357" s="181">
        <v>12.064200483253044</v>
      </c>
    </row>
    <row r="2358" spans="2:2" ht="15">
      <c r="B2358" s="181">
        <v>17.028917473704318</v>
      </c>
    </row>
    <row r="2359" spans="2:2" ht="15">
      <c r="B2359" s="181">
        <v>17.097641975464882</v>
      </c>
    </row>
    <row r="2360" spans="2:2" ht="15">
      <c r="B2360" s="181">
        <v>29.388397945505449</v>
      </c>
    </row>
    <row r="2361" spans="2:2" ht="15">
      <c r="B2361" s="181">
        <v>11.490509311175558</v>
      </c>
    </row>
    <row r="2362" spans="2:2" ht="15">
      <c r="B2362" s="181">
        <v>30.641214554981048</v>
      </c>
    </row>
    <row r="2363" spans="2:2" ht="15">
      <c r="B2363" s="181">
        <v>11.685543712994011</v>
      </c>
    </row>
    <row r="2364" spans="2:2" ht="15">
      <c r="B2364" s="181">
        <v>15.36557762943529</v>
      </c>
    </row>
    <row r="2365" spans="2:2" ht="15">
      <c r="B2365" s="181">
        <v>14.258501871653268</v>
      </c>
    </row>
    <row r="2366" spans="2:2" ht="15">
      <c r="B2366" s="181">
        <v>13.605258784256684</v>
      </c>
    </row>
    <row r="2367" spans="2:2" ht="15">
      <c r="B2367" s="181">
        <v>10.582438552958427</v>
      </c>
    </row>
    <row r="2368" spans="2:2" ht="15">
      <c r="B2368" s="181">
        <v>18.490929738933758</v>
      </c>
    </row>
    <row r="2369" spans="2:2" ht="15">
      <c r="B2369" s="181">
        <v>33.005232087511246</v>
      </c>
    </row>
    <row r="2370" spans="2:2" ht="15">
      <c r="B2370" s="181">
        <v>30.638803275613505</v>
      </c>
    </row>
    <row r="2371" spans="2:2" ht="15">
      <c r="B2371" s="181">
        <v>10.195258975268887</v>
      </c>
    </row>
    <row r="2372" spans="2:2" ht="15">
      <c r="B2372" s="181">
        <v>6.5714311309916829</v>
      </c>
    </row>
    <row r="2373" spans="2:2" ht="15">
      <c r="B2373" s="181">
        <v>12.308194220303458</v>
      </c>
    </row>
    <row r="2374" spans="2:2" ht="15">
      <c r="B2374" s="181">
        <v>34.433258964169191</v>
      </c>
    </row>
    <row r="2375" spans="2:2" ht="15">
      <c r="B2375" s="181">
        <v>17.926182459592557</v>
      </c>
    </row>
    <row r="2376" spans="2:2" ht="15">
      <c r="B2376" s="181">
        <v>30.277034923872193</v>
      </c>
    </row>
    <row r="2377" spans="2:2" ht="15">
      <c r="B2377" s="181">
        <v>28.560928674919253</v>
      </c>
    </row>
    <row r="2378" spans="2:2" ht="15">
      <c r="B2378" s="181">
        <v>18.047544264411233</v>
      </c>
    </row>
    <row r="2379" spans="2:2" ht="15">
      <c r="B2379" s="181">
        <v>21.692157784267696</v>
      </c>
    </row>
    <row r="2380" spans="2:2" ht="15">
      <c r="B2380" s="181">
        <v>28.891774450831573</v>
      </c>
    </row>
    <row r="2381" spans="2:2" ht="15">
      <c r="B2381" s="181">
        <v>33.046539427244888</v>
      </c>
    </row>
    <row r="2382" spans="2:2" ht="15">
      <c r="B2382" s="181">
        <v>13.690921853291885</v>
      </c>
    </row>
    <row r="2383" spans="2:2" ht="15">
      <c r="B2383" s="181">
        <v>15.782621088563108</v>
      </c>
    </row>
    <row r="2384" spans="2:2" ht="15">
      <c r="B2384" s="181">
        <v>27.112318162338465</v>
      </c>
    </row>
    <row r="2385" spans="2:2" ht="15">
      <c r="B2385" s="181">
        <v>20.711454917679344</v>
      </c>
    </row>
    <row r="2386" spans="2:2" ht="15">
      <c r="B2386" s="181">
        <v>15.1121104085989</v>
      </c>
    </row>
    <row r="2387" spans="2:2" ht="15">
      <c r="B2387" s="181">
        <v>54.159786998310523</v>
      </c>
    </row>
    <row r="2388" spans="2:2" ht="15">
      <c r="B2388" s="181">
        <v>40.574443481435821</v>
      </c>
    </row>
    <row r="2389" spans="2:2" ht="15">
      <c r="B2389" s="181">
        <v>14.918410677104038</v>
      </c>
    </row>
    <row r="2390" spans="2:2" ht="15">
      <c r="B2390" s="181">
        <v>13.529801382524646</v>
      </c>
    </row>
    <row r="2391" spans="2:2" ht="15">
      <c r="B2391" s="181">
        <v>21.619204320573228</v>
      </c>
    </row>
    <row r="2392" spans="2:2" ht="15">
      <c r="B2392" s="181">
        <v>30.435617542055585</v>
      </c>
    </row>
    <row r="2393" spans="2:2" ht="15">
      <c r="B2393" s="181">
        <v>23.62374183945958</v>
      </c>
    </row>
    <row r="2394" spans="2:2" ht="15">
      <c r="B2394" s="181">
        <v>18.68163090001082</v>
      </c>
    </row>
    <row r="2395" spans="2:2" ht="15">
      <c r="B2395" s="181">
        <v>16.569111359054421</v>
      </c>
    </row>
    <row r="2396" spans="2:2" ht="15">
      <c r="B2396" s="181">
        <v>22.426849771993741</v>
      </c>
    </row>
    <row r="2397" spans="2:2" ht="15">
      <c r="B2397" s="181">
        <v>26.508881223360074</v>
      </c>
    </row>
    <row r="2398" spans="2:2" ht="15">
      <c r="B2398" s="181">
        <v>20.920801369811421</v>
      </c>
    </row>
    <row r="2399" spans="2:2" ht="15">
      <c r="B2399" s="181">
        <v>33.857744208986276</v>
      </c>
    </row>
    <row r="2400" spans="2:2" ht="15">
      <c r="B2400" s="181">
        <v>29.456386804519429</v>
      </c>
    </row>
    <row r="2401" spans="2:2" ht="15">
      <c r="B2401" s="181">
        <v>17.170752901762881</v>
      </c>
    </row>
    <row r="2402" spans="2:2" ht="15">
      <c r="B2402" s="181">
        <v>8.1558844152594663</v>
      </c>
    </row>
    <row r="2403" spans="2:2" ht="15">
      <c r="B2403" s="181">
        <v>39.783002996736457</v>
      </c>
    </row>
    <row r="2404" spans="2:2" ht="15">
      <c r="B2404" s="181">
        <v>33.95050175585078</v>
      </c>
    </row>
    <row r="2405" spans="2:2" ht="15">
      <c r="B2405" s="181">
        <v>11.876644667800932</v>
      </c>
    </row>
    <row r="2406" spans="2:2" ht="15">
      <c r="B2406" s="181">
        <v>46.253104822658166</v>
      </c>
    </row>
    <row r="2407" spans="2:2" ht="15">
      <c r="B2407" s="181">
        <v>27.634315981338666</v>
      </c>
    </row>
    <row r="2408" spans="2:2" ht="15">
      <c r="B2408" s="181">
        <v>11.486756235674768</v>
      </c>
    </row>
    <row r="2409" spans="2:2" ht="15">
      <c r="B2409" s="181">
        <v>17.035799063234403</v>
      </c>
    </row>
    <row r="2410" spans="2:2" ht="15">
      <c r="B2410" s="181">
        <v>42.075177741048918</v>
      </c>
    </row>
    <row r="2411" spans="2:2" ht="15">
      <c r="B2411" s="181">
        <v>11.452803855661976</v>
      </c>
    </row>
    <row r="2412" spans="2:2" ht="15">
      <c r="B2412" s="181">
        <v>11.334798635505662</v>
      </c>
    </row>
    <row r="2413" spans="2:2" ht="15">
      <c r="B2413" s="181">
        <v>12.505574618801461</v>
      </c>
    </row>
    <row r="2414" spans="2:2" ht="15">
      <c r="B2414" s="181">
        <v>14.169774680173834</v>
      </c>
    </row>
    <row r="2415" spans="2:2" ht="15">
      <c r="B2415" s="181">
        <v>23.147575151901485</v>
      </c>
    </row>
    <row r="2416" spans="2:2" ht="15">
      <c r="B2416" s="181">
        <v>11.917133017800735</v>
      </c>
    </row>
    <row r="2417" spans="2:2" ht="15">
      <c r="B2417" s="181">
        <v>42.948220588177087</v>
      </c>
    </row>
    <row r="2418" spans="2:2" ht="15">
      <c r="B2418" s="181">
        <v>20.301839434457975</v>
      </c>
    </row>
    <row r="2419" spans="2:2" ht="15">
      <c r="B2419" s="181">
        <v>5.969872102830478</v>
      </c>
    </row>
    <row r="2420" spans="2:2" ht="15">
      <c r="B2420" s="181">
        <v>22.165857752208421</v>
      </c>
    </row>
    <row r="2421" spans="2:2" ht="15">
      <c r="B2421" s="181">
        <v>22.069412058213501</v>
      </c>
    </row>
    <row r="2422" spans="2:2" ht="15">
      <c r="B2422" s="181">
        <v>9.8240268302108458</v>
      </c>
    </row>
    <row r="2423" spans="2:2" ht="15">
      <c r="B2423" s="181">
        <v>38.589813514374228</v>
      </c>
    </row>
    <row r="2424" spans="2:2" ht="15">
      <c r="B2424" s="181">
        <v>17.992325723400679</v>
      </c>
    </row>
    <row r="2425" spans="2:2" ht="15">
      <c r="B2425" s="181">
        <v>19.478029190709783</v>
      </c>
    </row>
    <row r="2426" spans="2:2" ht="15">
      <c r="B2426" s="181">
        <v>26.647747302404483</v>
      </c>
    </row>
    <row r="2427" spans="2:2" ht="15">
      <c r="B2427" s="181">
        <v>25.160768959928681</v>
      </c>
    </row>
    <row r="2428" spans="2:2" ht="15">
      <c r="B2428" s="181">
        <v>22.901602437976539</v>
      </c>
    </row>
    <row r="2429" spans="2:2" ht="15">
      <c r="B2429" s="181">
        <v>19.993898130074459</v>
      </c>
    </row>
    <row r="2430" spans="2:2" ht="15">
      <c r="B2430" s="181">
        <v>11.73370121905606</v>
      </c>
    </row>
    <row r="2431" spans="2:2" ht="15">
      <c r="B2431" s="181">
        <v>22.528447171101067</v>
      </c>
    </row>
    <row r="2432" spans="2:2" ht="15">
      <c r="B2432" s="181">
        <v>11.218213915449898</v>
      </c>
    </row>
    <row r="2433" spans="2:2" ht="15">
      <c r="B2433" s="181">
        <v>16.519271203030051</v>
      </c>
    </row>
    <row r="2434" spans="2:2" ht="15">
      <c r="B2434" s="181">
        <v>47.915116976160121</v>
      </c>
    </row>
    <row r="2435" spans="2:2" ht="15">
      <c r="B2435" s="181">
        <v>17.194519796133072</v>
      </c>
    </row>
    <row r="2436" spans="2:2" ht="15">
      <c r="B2436" s="181">
        <v>32.828825442571627</v>
      </c>
    </row>
    <row r="2437" spans="2:2" ht="15">
      <c r="B2437" s="181">
        <v>29.505437869892347</v>
      </c>
    </row>
    <row r="2438" spans="2:2" ht="15">
      <c r="B2438" s="181">
        <v>26.973021366314534</v>
      </c>
    </row>
    <row r="2439" spans="2:2" ht="15">
      <c r="B2439" s="181">
        <v>22.069357817193605</v>
      </c>
    </row>
    <row r="2440" spans="2:2" ht="15">
      <c r="B2440" s="181">
        <v>5.9943276504326155</v>
      </c>
    </row>
    <row r="2441" spans="2:2" ht="15">
      <c r="B2441" s="181">
        <v>17.852326520648358</v>
      </c>
    </row>
    <row r="2442" spans="2:2" ht="15">
      <c r="B2442" s="181">
        <v>8.448129382732688</v>
      </c>
    </row>
    <row r="2443" spans="2:2" ht="15">
      <c r="B2443" s="181">
        <v>10.010613915177</v>
      </c>
    </row>
    <row r="2444" spans="2:2" ht="15">
      <c r="B2444" s="181">
        <v>13.676126925043647</v>
      </c>
    </row>
    <row r="2445" spans="2:2" ht="15">
      <c r="B2445" s="181">
        <v>5.6495435820059523</v>
      </c>
    </row>
    <row r="2446" spans="2:2" ht="15">
      <c r="B2446" s="181">
        <v>18.195701409300632</v>
      </c>
    </row>
    <row r="2447" spans="2:2" ht="15">
      <c r="B2447" s="181">
        <v>12.838888137179813</v>
      </c>
    </row>
    <row r="2448" spans="2:2" ht="15">
      <c r="B2448" s="181">
        <v>22.448008001529132</v>
      </c>
    </row>
    <row r="2449" spans="2:2" ht="15">
      <c r="B2449" s="181">
        <v>44.792720321707193</v>
      </c>
    </row>
    <row r="2450" spans="2:2" ht="15">
      <c r="B2450" s="181">
        <v>27.876873395165195</v>
      </c>
    </row>
    <row r="2451" spans="2:2" ht="15">
      <c r="B2451" s="181">
        <v>52.317272413300032</v>
      </c>
    </row>
    <row r="2452" spans="2:2" ht="15">
      <c r="B2452" s="181">
        <v>18.169974393303196</v>
      </c>
    </row>
    <row r="2453" spans="2:2" ht="15">
      <c r="B2453" s="181">
        <v>19.953847010943807</v>
      </c>
    </row>
    <row r="2454" spans="2:2" ht="15">
      <c r="B2454" s="181">
        <v>11.30749938404111</v>
      </c>
    </row>
    <row r="2455" spans="2:2" ht="15">
      <c r="B2455" s="181">
        <v>15.577520354565415</v>
      </c>
    </row>
    <row r="2456" spans="2:2" ht="15">
      <c r="B2456" s="181">
        <v>13.64220252456089</v>
      </c>
    </row>
    <row r="2457" spans="2:2" ht="15">
      <c r="B2457" s="181">
        <v>22.579349081260116</v>
      </c>
    </row>
    <row r="2458" spans="2:2" ht="15">
      <c r="B2458" s="181">
        <v>19.310712080397938</v>
      </c>
    </row>
    <row r="2459" spans="2:2" ht="15">
      <c r="B2459" s="181">
        <v>38.28181989858836</v>
      </c>
    </row>
    <row r="2460" spans="2:2" ht="15">
      <c r="B2460" s="181">
        <v>14.090939015663919</v>
      </c>
    </row>
    <row r="2461" spans="2:2" ht="15">
      <c r="B2461" s="181">
        <v>21.485663226113481</v>
      </c>
    </row>
    <row r="2462" spans="2:2" ht="15">
      <c r="B2462" s="181">
        <v>33.902684807538733</v>
      </c>
    </row>
    <row r="2463" spans="2:2" ht="15">
      <c r="B2463" s="181">
        <v>22.839921953760026</v>
      </c>
    </row>
    <row r="2464" spans="2:2" ht="15">
      <c r="B2464" s="181">
        <v>23.570300714058178</v>
      </c>
    </row>
    <row r="2465" spans="2:2" ht="15">
      <c r="B2465" s="181">
        <v>32.384049061241228</v>
      </c>
    </row>
    <row r="2466" spans="2:2" ht="15">
      <c r="B2466" s="181">
        <v>36.855213034813154</v>
      </c>
    </row>
    <row r="2467" spans="2:2" ht="15">
      <c r="B2467" s="181">
        <v>17.557340809483492</v>
      </c>
    </row>
    <row r="2468" spans="2:2" ht="15">
      <c r="B2468" s="181">
        <v>25.680470481145772</v>
      </c>
    </row>
    <row r="2469" spans="2:2" ht="15">
      <c r="B2469" s="181">
        <v>16.525776221827538</v>
      </c>
    </row>
    <row r="2470" spans="2:2" ht="15">
      <c r="B2470" s="181">
        <v>10.778382554906187</v>
      </c>
    </row>
    <row r="2471" spans="2:2" ht="15">
      <c r="B2471" s="181">
        <v>18.566861075937659</v>
      </c>
    </row>
    <row r="2472" spans="2:2" ht="15">
      <c r="B2472" s="181">
        <v>27.107338055889134</v>
      </c>
    </row>
    <row r="2473" spans="2:2" ht="15">
      <c r="B2473" s="181">
        <v>36.857682016462938</v>
      </c>
    </row>
    <row r="2474" spans="2:2" ht="15">
      <c r="B2474" s="181">
        <v>9.6513076304853342</v>
      </c>
    </row>
    <row r="2475" spans="2:2" ht="15">
      <c r="B2475" s="181">
        <v>26.353560921030585</v>
      </c>
    </row>
    <row r="2476" spans="2:2" ht="15">
      <c r="B2476" s="181">
        <v>12.554529895024981</v>
      </c>
    </row>
    <row r="2477" spans="2:2" ht="15">
      <c r="B2477" s="181">
        <v>18.998015643816938</v>
      </c>
    </row>
    <row r="2478" spans="2:2" ht="15">
      <c r="B2478" s="181">
        <v>15.961590776046785</v>
      </c>
    </row>
    <row r="2479" spans="2:2" ht="15">
      <c r="B2479" s="181">
        <v>24.061654715936655</v>
      </c>
    </row>
    <row r="2480" spans="2:2" ht="15">
      <c r="B2480" s="181">
        <v>24.772552876052032</v>
      </c>
    </row>
    <row r="2481" spans="2:2" ht="15">
      <c r="B2481" s="181">
        <v>21.591362027928444</v>
      </c>
    </row>
    <row r="2482" spans="2:2" ht="15">
      <c r="B2482" s="181">
        <v>18.033778536266642</v>
      </c>
    </row>
    <row r="2483" spans="2:2" ht="15">
      <c r="B2483" s="181">
        <v>11.787384756406764</v>
      </c>
    </row>
    <row r="2484" spans="2:2" ht="15">
      <c r="B2484" s="181">
        <v>24.081600581485791</v>
      </c>
    </row>
    <row r="2485" spans="2:2" ht="15">
      <c r="B2485" s="181">
        <v>10.631629705513285</v>
      </c>
    </row>
    <row r="2486" spans="2:2" ht="15">
      <c r="B2486" s="181">
        <v>28.963286908839848</v>
      </c>
    </row>
    <row r="2487" spans="2:2" ht="15">
      <c r="B2487" s="181">
        <v>18.513111644649317</v>
      </c>
    </row>
    <row r="2488" spans="2:2" ht="15">
      <c r="B2488" s="181">
        <v>49.918422568630845</v>
      </c>
    </row>
    <row r="2489" spans="2:2" ht="15">
      <c r="B2489" s="181">
        <v>12.217769895064302</v>
      </c>
    </row>
    <row r="2490" spans="2:2" ht="15">
      <c r="B2490" s="181">
        <v>15.669140087865888</v>
      </c>
    </row>
    <row r="2491" spans="2:2" ht="15">
      <c r="B2491" s="181">
        <v>14.448728084670476</v>
      </c>
    </row>
    <row r="2492" spans="2:2" ht="15">
      <c r="B2492" s="181">
        <v>22.587871159776704</v>
      </c>
    </row>
    <row r="2493" spans="2:2" ht="15">
      <c r="B2493" s="181">
        <v>28.198283780591836</v>
      </c>
    </row>
    <row r="2494" spans="2:2" ht="15">
      <c r="B2494" s="181">
        <v>12.967051320652027</v>
      </c>
    </row>
    <row r="2495" spans="2:2" ht="15">
      <c r="B2495" s="181">
        <v>21.368727317712292</v>
      </c>
    </row>
    <row r="2496" spans="2:2" ht="15">
      <c r="B2496" s="181">
        <v>22.229773888226081</v>
      </c>
    </row>
    <row r="2497" spans="2:2" ht="15">
      <c r="B2497" s="181">
        <v>23.541172327497577</v>
      </c>
    </row>
    <row r="2498" spans="2:2" ht="15">
      <c r="B2498" s="181">
        <v>13.254541067285343</v>
      </c>
    </row>
    <row r="2499" spans="2:2" ht="15">
      <c r="B2499" s="181">
        <v>29.350636704923478</v>
      </c>
    </row>
    <row r="2500" spans="2:2" ht="15">
      <c r="B2500" s="181">
        <v>32.713568329342955</v>
      </c>
    </row>
    <row r="2501" spans="2:2" ht="15">
      <c r="B2501" s="181">
        <v>8.7433539130205702</v>
      </c>
    </row>
    <row r="2502" spans="2:2" ht="15">
      <c r="B2502" s="181">
        <v>20.451751916884984</v>
      </c>
    </row>
    <row r="2503" spans="2:2" ht="15">
      <c r="B2503" s="181">
        <v>40.924719663098642</v>
      </c>
    </row>
    <row r="2504" spans="2:2" ht="15">
      <c r="B2504" s="181">
        <v>31.24687928885513</v>
      </c>
    </row>
    <row r="2505" spans="2:2" ht="15">
      <c r="B2505" s="181">
        <v>28.676424537165857</v>
      </c>
    </row>
    <row r="2506" spans="2:2" ht="15">
      <c r="B2506" s="181">
        <v>15.819990866168805</v>
      </c>
    </row>
    <row r="2507" spans="2:2" ht="15">
      <c r="B2507" s="181">
        <v>11.069584325916429</v>
      </c>
    </row>
    <row r="2508" spans="2:2" ht="15">
      <c r="B2508" s="181">
        <v>8.3135209794908675</v>
      </c>
    </row>
    <row r="2509" spans="2:2" ht="15">
      <c r="B2509" s="181">
        <v>43.80547414383468</v>
      </c>
    </row>
    <row r="2510" spans="2:2" ht="15">
      <c r="B2510" s="181">
        <v>26.156993871002438</v>
      </c>
    </row>
    <row r="2511" spans="2:2" ht="15">
      <c r="B2511" s="181">
        <v>28.599939644734434</v>
      </c>
    </row>
    <row r="2512" spans="2:2" ht="15">
      <c r="B2512" s="181">
        <v>11.652132985856708</v>
      </c>
    </row>
    <row r="2513" spans="2:2" ht="15">
      <c r="B2513" s="181">
        <v>23.272822820776575</v>
      </c>
    </row>
    <row r="2514" spans="2:2" ht="15">
      <c r="B2514" s="181">
        <v>26.217126993453387</v>
      </c>
    </row>
    <row r="2515" spans="2:2" ht="15">
      <c r="B2515" s="181">
        <v>28.124636874845113</v>
      </c>
    </row>
    <row r="2516" spans="2:2" ht="15">
      <c r="B2516" s="181">
        <v>23.678895395636278</v>
      </c>
    </row>
    <row r="2517" spans="2:2" ht="15">
      <c r="B2517" s="181">
        <v>26.088993130863951</v>
      </c>
    </row>
    <row r="2518" spans="2:2" ht="15">
      <c r="B2518" s="181">
        <v>23.668094870710593</v>
      </c>
    </row>
    <row r="2519" spans="2:2" ht="15">
      <c r="B2519" s="181">
        <v>42.429239105091852</v>
      </c>
    </row>
    <row r="2520" spans="2:2" ht="15">
      <c r="B2520" s="181">
        <v>25.254913511407668</v>
      </c>
    </row>
    <row r="2521" spans="2:2" ht="15">
      <c r="B2521" s="181">
        <v>15.608063038795571</v>
      </c>
    </row>
    <row r="2522" spans="2:2" ht="15">
      <c r="B2522" s="181">
        <v>63.789021076639202</v>
      </c>
    </row>
    <row r="2523" spans="2:2" ht="15">
      <c r="B2523" s="181">
        <v>11.067800285661962</v>
      </c>
    </row>
    <row r="2524" spans="2:2" ht="15">
      <c r="B2524" s="181">
        <v>21.999683986950988</v>
      </c>
    </row>
    <row r="2525" spans="2:2" ht="15">
      <c r="B2525" s="181">
        <v>11.578559513266558</v>
      </c>
    </row>
    <row r="2526" spans="2:2" ht="15">
      <c r="B2526" s="181">
        <v>15.496418871877996</v>
      </c>
    </row>
    <row r="2527" spans="2:2" ht="15">
      <c r="B2527" s="181">
        <v>12.4445528531589</v>
      </c>
    </row>
    <row r="2528" spans="2:2" ht="15">
      <c r="B2528" s="181">
        <v>4.6195504731565791</v>
      </c>
    </row>
    <row r="2529" spans="2:2" ht="15">
      <c r="B2529" s="181">
        <v>8.269326545947866</v>
      </c>
    </row>
    <row r="2530" spans="2:2" ht="15">
      <c r="B2530" s="181">
        <v>27.464600212189822</v>
      </c>
    </row>
    <row r="2531" spans="2:2" ht="15">
      <c r="B2531" s="181">
        <v>14.729985259046241</v>
      </c>
    </row>
    <row r="2532" spans="2:2" ht="15">
      <c r="B2532" s="181">
        <v>19.533053383422107</v>
      </c>
    </row>
    <row r="2533" spans="2:2" ht="15">
      <c r="B2533" s="181">
        <v>3.453108079208882</v>
      </c>
    </row>
    <row r="2534" spans="2:2" ht="15">
      <c r="B2534" s="181">
        <v>25.992215498883741</v>
      </c>
    </row>
    <row r="2535" spans="2:2" ht="15">
      <c r="B2535" s="181">
        <v>16.948857041740833</v>
      </c>
    </row>
    <row r="2536" spans="2:2" ht="15">
      <c r="B2536" s="181">
        <v>7.3371909897742329</v>
      </c>
    </row>
    <row r="2537" spans="2:2" ht="15">
      <c r="B2537" s="181">
        <v>20.933126627132019</v>
      </c>
    </row>
    <row r="2538" spans="2:2" ht="15">
      <c r="B2538" s="181">
        <v>12.149070589426907</v>
      </c>
    </row>
    <row r="2539" spans="2:2" ht="15">
      <c r="B2539" s="181">
        <v>13.242534808840764</v>
      </c>
    </row>
    <row r="2540" spans="2:2" ht="15">
      <c r="B2540" s="181">
        <v>7.3439848275472812</v>
      </c>
    </row>
    <row r="2541" spans="2:2" ht="15">
      <c r="B2541" s="181">
        <v>35.681750636505896</v>
      </c>
    </row>
    <row r="2542" spans="2:2" ht="15">
      <c r="B2542" s="181">
        <v>15.092399419315631</v>
      </c>
    </row>
    <row r="2543" spans="2:2" ht="15">
      <c r="B2543" s="181">
        <v>17.749478845305713</v>
      </c>
    </row>
    <row r="2544" spans="2:2" ht="15">
      <c r="B2544" s="181">
        <v>14.263022849459949</v>
      </c>
    </row>
    <row r="2545" spans="2:2" ht="15">
      <c r="B2545" s="181">
        <v>32.463981743447086</v>
      </c>
    </row>
    <row r="2546" spans="2:2" ht="15">
      <c r="B2546" s="181">
        <v>27.065081845575605</v>
      </c>
    </row>
    <row r="2547" spans="2:2" ht="15">
      <c r="B2547" s="181">
        <v>13.484979809552645</v>
      </c>
    </row>
    <row r="2548" spans="2:2" ht="15">
      <c r="B2548" s="181">
        <v>15.914174539919072</v>
      </c>
    </row>
    <row r="2549" spans="2:2" ht="15">
      <c r="B2549" s="181">
        <v>28.130278171350447</v>
      </c>
    </row>
    <row r="2550" spans="2:2" ht="15">
      <c r="B2550" s="181">
        <v>22.546431717187367</v>
      </c>
    </row>
    <row r="2551" spans="2:2" ht="15">
      <c r="B2551" s="181">
        <v>8.9010286400293595</v>
      </c>
    </row>
    <row r="2552" spans="2:2" ht="15">
      <c r="B2552" s="181">
        <v>11.753468864954231</v>
      </c>
    </row>
    <row r="2553" spans="2:2" ht="15">
      <c r="B2553" s="181">
        <v>25.108384979395417</v>
      </c>
    </row>
    <row r="2554" spans="2:2" ht="15">
      <c r="B2554" s="181">
        <v>11.724342623584537</v>
      </c>
    </row>
    <row r="2555" spans="2:2" ht="15">
      <c r="B2555" s="181">
        <v>11.478740821473314</v>
      </c>
    </row>
    <row r="2556" spans="2:2" ht="15">
      <c r="B2556" s="181">
        <v>8.3121502739400093</v>
      </c>
    </row>
    <row r="2557" spans="2:2" ht="15">
      <c r="B2557" s="181">
        <v>9.1233906379086136</v>
      </c>
    </row>
    <row r="2558" spans="2:2" ht="15">
      <c r="B2558" s="181">
        <v>21.069559732873046</v>
      </c>
    </row>
    <row r="2559" spans="2:2" ht="15">
      <c r="B2559" s="181">
        <v>34.448366776730815</v>
      </c>
    </row>
    <row r="2560" spans="2:2" ht="15">
      <c r="B2560" s="181">
        <v>12.171214079102631</v>
      </c>
    </row>
    <row r="2561" spans="2:2" ht="15">
      <c r="B2561" s="181">
        <v>22.277305039168901</v>
      </c>
    </row>
    <row r="2562" spans="2:2" ht="15">
      <c r="B2562" s="181">
        <v>53.266265255895838</v>
      </c>
    </row>
    <row r="2563" spans="2:2" ht="15">
      <c r="B2563" s="181">
        <v>48.038571299928527</v>
      </c>
    </row>
    <row r="2564" spans="2:2" ht="15">
      <c r="B2564" s="181">
        <v>30.196220221566371</v>
      </c>
    </row>
    <row r="2565" spans="2:2" ht="15">
      <c r="B2565" s="181">
        <v>23.160790531237161</v>
      </c>
    </row>
    <row r="2566" spans="2:2" ht="15">
      <c r="B2566" s="181">
        <v>16.380521330459295</v>
      </c>
    </row>
    <row r="2567" spans="2:2" ht="15">
      <c r="B2567" s="181">
        <v>8.9314178604306829</v>
      </c>
    </row>
    <row r="2568" spans="2:2" ht="15">
      <c r="B2568" s="181">
        <v>45.355462766496885</v>
      </c>
    </row>
    <row r="2569" spans="2:2" ht="15">
      <c r="B2569" s="181">
        <v>39.18828390914215</v>
      </c>
    </row>
    <row r="2570" spans="2:2" ht="15">
      <c r="B2570" s="181">
        <v>10.313326152029877</v>
      </c>
    </row>
    <row r="2571" spans="2:2" ht="15">
      <c r="B2571" s="181">
        <v>32.665754445786803</v>
      </c>
    </row>
    <row r="2572" spans="2:2" ht="15">
      <c r="B2572" s="181">
        <v>16.354612090456339</v>
      </c>
    </row>
    <row r="2573" spans="2:2" ht="15">
      <c r="B2573" s="181">
        <v>8.5107558961995551</v>
      </c>
    </row>
    <row r="2574" spans="2:2" ht="15">
      <c r="B2574" s="181">
        <v>14.954601339813438</v>
      </c>
    </row>
    <row r="2575" spans="2:2" ht="15">
      <c r="B2575" s="181">
        <v>9.1580002681709001</v>
      </c>
    </row>
    <row r="2576" spans="2:2" ht="15">
      <c r="B2576" s="181">
        <v>55.114987659515464</v>
      </c>
    </row>
    <row r="2577" spans="2:2" ht="15">
      <c r="B2577" s="181">
        <v>13.569417015140573</v>
      </c>
    </row>
    <row r="2578" spans="2:2" ht="15">
      <c r="B2578" s="181">
        <v>15.364564602070846</v>
      </c>
    </row>
    <row r="2579" spans="2:2" ht="15">
      <c r="B2579" s="181">
        <v>33.691779997161738</v>
      </c>
    </row>
    <row r="2580" spans="2:2" ht="15">
      <c r="B2580" s="181">
        <v>10.181141677637163</v>
      </c>
    </row>
    <row r="2581" spans="2:2" ht="15">
      <c r="B2581" s="181">
        <v>9.9859721130235819</v>
      </c>
    </row>
    <row r="2582" spans="2:2" ht="15">
      <c r="B2582" s="181">
        <v>30.328280813179138</v>
      </c>
    </row>
    <row r="2583" spans="2:2" ht="15">
      <c r="B2583" s="181">
        <v>30.402396414453829</v>
      </c>
    </row>
    <row r="2584" spans="2:2" ht="15">
      <c r="B2584" s="181">
        <v>14.045744113349695</v>
      </c>
    </row>
    <row r="2585" spans="2:2" ht="15">
      <c r="B2585" s="181">
        <v>15.661130860198901</v>
      </c>
    </row>
    <row r="2586" spans="2:2" ht="15">
      <c r="B2586" s="181">
        <v>24.013113250310411</v>
      </c>
    </row>
    <row r="2587" spans="2:2" ht="15">
      <c r="B2587" s="181">
        <v>33.391681308874738</v>
      </c>
    </row>
    <row r="2588" spans="2:2" ht="15">
      <c r="B2588" s="181">
        <v>16.642731194002685</v>
      </c>
    </row>
    <row r="2589" spans="2:2" ht="15">
      <c r="B2589" s="181">
        <v>36.2631065237874</v>
      </c>
    </row>
    <row r="2590" spans="2:2" ht="15">
      <c r="B2590" s="181">
        <v>13.936110178581876</v>
      </c>
    </row>
    <row r="2591" spans="2:2" ht="15">
      <c r="B2591" s="181">
        <v>81.585069295981555</v>
      </c>
    </row>
    <row r="2592" spans="2:2" ht="15">
      <c r="B2592" s="181">
        <v>22.136203196857924</v>
      </c>
    </row>
    <row r="2593" spans="2:2" ht="15">
      <c r="B2593" s="181">
        <v>14.476956068692935</v>
      </c>
    </row>
    <row r="2594" spans="2:2" ht="15">
      <c r="B2594" s="181">
        <v>9.4101535533878078</v>
      </c>
    </row>
    <row r="2595" spans="2:2" ht="15">
      <c r="B2595" s="181">
        <v>23.129541640490903</v>
      </c>
    </row>
    <row r="2596" spans="2:2" ht="15">
      <c r="B2596" s="181">
        <v>34.971212484788403</v>
      </c>
    </row>
    <row r="2597" spans="2:2" ht="15">
      <c r="B2597" s="181">
        <v>8.4180131780671061</v>
      </c>
    </row>
    <row r="2598" spans="2:2" ht="15">
      <c r="B2598" s="181">
        <v>15.162908326041778</v>
      </c>
    </row>
    <row r="2599" spans="2:2" ht="15">
      <c r="B2599" s="181">
        <v>15.813596542036098</v>
      </c>
    </row>
    <row r="2600" spans="2:2" ht="15">
      <c r="B2600" s="181">
        <v>8.1075253027594449</v>
      </c>
    </row>
    <row r="2601" spans="2:2" ht="15">
      <c r="B2601" s="181">
        <v>11.684621242092202</v>
      </c>
    </row>
    <row r="2602" spans="2:2" ht="15">
      <c r="B2602" s="181">
        <v>14.496191757538124</v>
      </c>
    </row>
    <row r="2603" spans="2:2" ht="15">
      <c r="B2603" s="181">
        <v>15.57164123326425</v>
      </c>
    </row>
    <row r="2604" spans="2:2" ht="15">
      <c r="B2604" s="181">
        <v>22.55249728793186</v>
      </c>
    </row>
    <row r="2605" spans="2:2" ht="15">
      <c r="B2605" s="181">
        <v>24.435353863969585</v>
      </c>
    </row>
    <row r="2606" spans="2:2" ht="15">
      <c r="B2606" s="181">
        <v>15.608520606335217</v>
      </c>
    </row>
    <row r="2607" spans="2:2" ht="15">
      <c r="B2607" s="181">
        <v>16.602287189243089</v>
      </c>
    </row>
    <row r="2608" spans="2:2" ht="15">
      <c r="B2608" s="181">
        <v>15.088603803249667</v>
      </c>
    </row>
    <row r="2609" spans="2:2" ht="15">
      <c r="B2609" s="181">
        <v>16.75311543860354</v>
      </c>
    </row>
    <row r="2610" spans="2:2" ht="15">
      <c r="B2610" s="181">
        <v>19.099738692965605</v>
      </c>
    </row>
    <row r="2611" spans="2:2" ht="15">
      <c r="B2611" s="181">
        <v>17.111563456751849</v>
      </c>
    </row>
    <row r="2612" spans="2:2" ht="15">
      <c r="B2612" s="181">
        <v>10.263871937989872</v>
      </c>
    </row>
    <row r="2613" spans="2:2" ht="15">
      <c r="B2613" s="181">
        <v>16.313194586454518</v>
      </c>
    </row>
    <row r="2614" spans="2:2" ht="15">
      <c r="B2614" s="181">
        <v>25.228173423607782</v>
      </c>
    </row>
    <row r="2615" spans="2:2" ht="15">
      <c r="B2615" s="181">
        <v>28.197729978525388</v>
      </c>
    </row>
    <row r="2616" spans="2:2" ht="15">
      <c r="B2616" s="181">
        <v>18.329383416835238</v>
      </c>
    </row>
    <row r="2617" spans="2:2" ht="15">
      <c r="B2617" s="181">
        <v>23.709189540728129</v>
      </c>
    </row>
    <row r="2618" spans="2:2" ht="15">
      <c r="B2618" s="181">
        <v>16.760892320718263</v>
      </c>
    </row>
    <row r="2619" spans="2:2" ht="15">
      <c r="B2619" s="181">
        <v>17.817506733072499</v>
      </c>
    </row>
    <row r="2620" spans="2:2" ht="15">
      <c r="B2620" s="181">
        <v>7.0696246404936156</v>
      </c>
    </row>
    <row r="2621" spans="2:2" ht="15">
      <c r="B2621" s="181">
        <v>14.456276336534854</v>
      </c>
    </row>
    <row r="2622" spans="2:2" ht="15">
      <c r="B2622" s="181">
        <v>19.449543228841037</v>
      </c>
    </row>
    <row r="2623" spans="2:2" ht="15">
      <c r="B2623" s="181">
        <v>21.178850766102233</v>
      </c>
    </row>
    <row r="2624" spans="2:2" ht="15">
      <c r="B2624" s="181">
        <v>15.590590587250642</v>
      </c>
    </row>
    <row r="2625" spans="2:2" ht="15">
      <c r="B2625" s="181">
        <v>28.428415713399161</v>
      </c>
    </row>
    <row r="2626" spans="2:2" ht="15">
      <c r="B2626" s="181">
        <v>31.555450598573657</v>
      </c>
    </row>
    <row r="2627" spans="2:2" ht="15">
      <c r="B2627" s="181">
        <v>21.772844794254034</v>
      </c>
    </row>
    <row r="2628" spans="2:2" ht="15">
      <c r="B2628" s="181">
        <v>15.114123340386158</v>
      </c>
    </row>
    <row r="2629" spans="2:2" ht="15">
      <c r="B2629" s="181">
        <v>13.27930914657297</v>
      </c>
    </row>
    <row r="2630" spans="2:2" ht="15">
      <c r="B2630" s="181">
        <v>19.564425879504924</v>
      </c>
    </row>
    <row r="2631" spans="2:2" ht="15">
      <c r="B2631" s="181">
        <v>16.177712389174634</v>
      </c>
    </row>
    <row r="2632" spans="2:2" ht="15">
      <c r="B2632" s="181">
        <v>20.518374191298136</v>
      </c>
    </row>
    <row r="2633" spans="2:2" ht="15">
      <c r="B2633" s="181">
        <v>23.109851430700871</v>
      </c>
    </row>
    <row r="2634" spans="2:2" ht="15">
      <c r="B2634" s="181">
        <v>13.23405642232718</v>
      </c>
    </row>
    <row r="2635" spans="2:2" ht="15">
      <c r="B2635" s="181">
        <v>16.751307848776388</v>
      </c>
    </row>
    <row r="2636" spans="2:2" ht="15">
      <c r="B2636" s="181">
        <v>38.330377993610924</v>
      </c>
    </row>
    <row r="2637" spans="2:2" ht="15">
      <c r="B2637" s="181">
        <v>23.459916119593217</v>
      </c>
    </row>
    <row r="2638" spans="2:2" ht="15">
      <c r="B2638" s="181">
        <v>17.6243053295191</v>
      </c>
    </row>
    <row r="2639" spans="2:2" ht="15">
      <c r="B2639" s="181">
        <v>15.303385563808401</v>
      </c>
    </row>
    <row r="2640" spans="2:2" ht="15">
      <c r="B2640" s="181">
        <v>9.1446747006653677</v>
      </c>
    </row>
    <row r="2641" spans="2:2" ht="15">
      <c r="B2641" s="181">
        <v>6.0335971854051387</v>
      </c>
    </row>
    <row r="2642" spans="2:2" ht="15">
      <c r="B2642" s="181">
        <v>8.3049182132206703</v>
      </c>
    </row>
    <row r="2643" spans="2:2" ht="15">
      <c r="B2643" s="181">
        <v>25.237317372127958</v>
      </c>
    </row>
    <row r="2644" spans="2:2" ht="15">
      <c r="B2644" s="181">
        <v>24.905244117960788</v>
      </c>
    </row>
    <row r="2645" spans="2:2" ht="15">
      <c r="B2645" s="181">
        <v>8.5422102761297367</v>
      </c>
    </row>
    <row r="2646" spans="2:2" ht="15">
      <c r="B2646" s="181">
        <v>26.77801995906302</v>
      </c>
    </row>
    <row r="2647" spans="2:2" ht="15">
      <c r="B2647" s="181">
        <v>26.53940712323752</v>
      </c>
    </row>
    <row r="2648" spans="2:2" ht="15">
      <c r="B2648" s="181">
        <v>17.050288959710983</v>
      </c>
    </row>
    <row r="2649" spans="2:2" ht="15">
      <c r="B2649" s="181">
        <v>31.605930248684675</v>
      </c>
    </row>
    <row r="2650" spans="2:2" ht="15">
      <c r="B2650" s="181">
        <v>79.448541208094866</v>
      </c>
    </row>
    <row r="2651" spans="2:2" ht="15">
      <c r="B2651" s="181">
        <v>18.594577643484381</v>
      </c>
    </row>
    <row r="2652" spans="2:2" ht="15">
      <c r="B2652" s="181">
        <v>11.486517135554461</v>
      </c>
    </row>
    <row r="2653" spans="2:2" ht="15">
      <c r="B2653" s="181">
        <v>25.487749579481058</v>
      </c>
    </row>
    <row r="2654" spans="2:2" ht="15">
      <c r="B2654" s="181">
        <v>27.001216189165117</v>
      </c>
    </row>
    <row r="2655" spans="2:2" ht="15">
      <c r="B2655" s="181">
        <v>7.19470889029696</v>
      </c>
    </row>
    <row r="2656" spans="2:2" ht="15">
      <c r="B2656" s="181">
        <v>31.41004759422696</v>
      </c>
    </row>
    <row r="2657" spans="2:2" ht="15">
      <c r="B2657" s="181">
        <v>25.815182549000884</v>
      </c>
    </row>
    <row r="2658" spans="2:2" ht="15">
      <c r="B2658" s="181">
        <v>21.607618886127895</v>
      </c>
    </row>
    <row r="2659" spans="2:2" ht="15">
      <c r="B2659" s="181">
        <v>11.045178705926874</v>
      </c>
    </row>
    <row r="2660" spans="2:2" ht="15">
      <c r="B2660" s="181">
        <v>49.431517177245354</v>
      </c>
    </row>
    <row r="2661" spans="2:2" ht="15">
      <c r="B2661" s="181">
        <v>16.456550938405272</v>
      </c>
    </row>
    <row r="2662" spans="2:2" ht="15">
      <c r="B2662" s="181">
        <v>11.563556974716548</v>
      </c>
    </row>
    <row r="2663" spans="2:2" ht="15">
      <c r="B2663" s="181">
        <v>7.4375116369894316</v>
      </c>
    </row>
    <row r="2664" spans="2:2" ht="15">
      <c r="B2664" s="181">
        <v>28.752970875376839</v>
      </c>
    </row>
    <row r="2665" spans="2:2" ht="15">
      <c r="B2665" s="181">
        <v>32.801045526531496</v>
      </c>
    </row>
    <row r="2666" spans="2:2" ht="15">
      <c r="B2666" s="181">
        <v>16.044900174998148</v>
      </c>
    </row>
    <row r="2667" spans="2:2" ht="15">
      <c r="B2667" s="181">
        <v>39.04512652490429</v>
      </c>
    </row>
    <row r="2668" spans="2:2" ht="15">
      <c r="B2668" s="181">
        <v>7.2839903816669205</v>
      </c>
    </row>
    <row r="2669" spans="2:2" ht="15">
      <c r="B2669" s="181">
        <v>42.86451694703554</v>
      </c>
    </row>
    <row r="2670" spans="2:2" ht="15">
      <c r="B2670" s="181">
        <v>37.434590912091153</v>
      </c>
    </row>
    <row r="2671" spans="2:2" ht="15">
      <c r="B2671" s="181">
        <v>7.563130661220077</v>
      </c>
    </row>
    <row r="2672" spans="2:2" ht="15">
      <c r="B2672" s="181">
        <v>20.348094158935268</v>
      </c>
    </row>
    <row r="2673" spans="2:2" ht="15">
      <c r="B2673" s="181">
        <v>9.6053953493210766</v>
      </c>
    </row>
    <row r="2674" spans="2:2" ht="15">
      <c r="B2674" s="181">
        <v>10.45018392529828</v>
      </c>
    </row>
    <row r="2675" spans="2:2" ht="15">
      <c r="B2675" s="181">
        <v>28.740485947683688</v>
      </c>
    </row>
    <row r="2676" spans="2:2" ht="15">
      <c r="B2676" s="181">
        <v>12.22551453884539</v>
      </c>
    </row>
    <row r="2677" spans="2:2" ht="15">
      <c r="B2677" s="181">
        <v>34.808498229140156</v>
      </c>
    </row>
    <row r="2678" spans="2:2" ht="15">
      <c r="B2678" s="181">
        <v>24.646249668289833</v>
      </c>
    </row>
    <row r="2679" spans="2:2" ht="15">
      <c r="B2679" s="181">
        <v>9.4414598553150473</v>
      </c>
    </row>
    <row r="2680" spans="2:2" ht="15">
      <c r="B2680" s="181">
        <v>38.947063471012989</v>
      </c>
    </row>
    <row r="2681" spans="2:2" ht="15">
      <c r="B2681" s="181">
        <v>25.268714862411958</v>
      </c>
    </row>
    <row r="2682" spans="2:2" ht="15">
      <c r="B2682" s="181">
        <v>13.646706497927831</v>
      </c>
    </row>
    <row r="2683" spans="2:2" ht="15">
      <c r="B2683" s="181">
        <v>29.826984218588077</v>
      </c>
    </row>
    <row r="2684" spans="2:2" ht="15">
      <c r="B2684" s="181">
        <v>32.460700437927883</v>
      </c>
    </row>
    <row r="2685" spans="2:2" ht="15">
      <c r="B2685" s="181">
        <v>59.928320125087197</v>
      </c>
    </row>
    <row r="2686" spans="2:2" ht="15">
      <c r="B2686" s="181">
        <v>22.19842217947221</v>
      </c>
    </row>
    <row r="2687" spans="2:2" ht="15">
      <c r="B2687" s="181">
        <v>14.67114060743846</v>
      </c>
    </row>
    <row r="2688" spans="2:2" ht="15">
      <c r="B2688" s="181">
        <v>11.804325019119661</v>
      </c>
    </row>
    <row r="2689" spans="2:2" ht="15">
      <c r="B2689" s="181">
        <v>50.684656149643011</v>
      </c>
    </row>
    <row r="2690" spans="2:2" ht="15">
      <c r="B2690" s="181">
        <v>15.01213035516254</v>
      </c>
    </row>
    <row r="2691" spans="2:2" ht="15">
      <c r="B2691" s="181">
        <v>8.5608933447694877</v>
      </c>
    </row>
    <row r="2692" spans="2:2" ht="15">
      <c r="B2692" s="181">
        <v>24.455385300326473</v>
      </c>
    </row>
    <row r="2693" spans="2:2" ht="15">
      <c r="B2693" s="181">
        <v>15.811806674242776</v>
      </c>
    </row>
    <row r="2694" spans="2:2" ht="15">
      <c r="B2694" s="181">
        <v>10.234625379429922</v>
      </c>
    </row>
    <row r="2695" spans="2:2" ht="15">
      <c r="B2695" s="181">
        <v>32.272666105755228</v>
      </c>
    </row>
    <row r="2696" spans="2:2" ht="15">
      <c r="B2696" s="181">
        <v>24.495689867746965</v>
      </c>
    </row>
    <row r="2697" spans="2:2" ht="15">
      <c r="B2697" s="181">
        <v>42.848350173361901</v>
      </c>
    </row>
    <row r="2698" spans="2:2" ht="15">
      <c r="B2698" s="181">
        <v>21.10730565648992</v>
      </c>
    </row>
    <row r="2699" spans="2:2" ht="15">
      <c r="B2699" s="181">
        <v>17.787249892486766</v>
      </c>
    </row>
    <row r="2700" spans="2:2" ht="15">
      <c r="B2700" s="181">
        <v>16.840294997106309</v>
      </c>
    </row>
    <row r="2701" spans="2:2" ht="15">
      <c r="B2701" s="181">
        <v>20.421778090406164</v>
      </c>
    </row>
    <row r="2702" spans="2:2" ht="15">
      <c r="B2702" s="181">
        <v>34.295846579161555</v>
      </c>
    </row>
    <row r="2703" spans="2:2" ht="15">
      <c r="B2703" s="181">
        <v>13.955270812857169</v>
      </c>
    </row>
    <row r="2704" spans="2:2" ht="15">
      <c r="B2704" s="181">
        <v>29.031626141020244</v>
      </c>
    </row>
    <row r="2705" spans="2:2" ht="15">
      <c r="B2705" s="181">
        <v>16.103253043538977</v>
      </c>
    </row>
    <row r="2706" spans="2:2" ht="15">
      <c r="B2706" s="181">
        <v>23.038041108629578</v>
      </c>
    </row>
    <row r="2707" spans="2:2" ht="15">
      <c r="B2707" s="181">
        <v>11.742562475347604</v>
      </c>
    </row>
    <row r="2708" spans="2:2" ht="15">
      <c r="B2708" s="181">
        <v>17.324083670724416</v>
      </c>
    </row>
    <row r="2709" spans="2:2" ht="15">
      <c r="B2709" s="181">
        <v>11.284584573096831</v>
      </c>
    </row>
    <row r="2710" spans="2:2" ht="15">
      <c r="B2710" s="181">
        <v>17.107378687250925</v>
      </c>
    </row>
    <row r="2711" spans="2:2" ht="15">
      <c r="B2711" s="181">
        <v>36.860858995382266</v>
      </c>
    </row>
    <row r="2712" spans="2:2" ht="15">
      <c r="B2712" s="181">
        <v>9.7648446019251214</v>
      </c>
    </row>
    <row r="2713" spans="2:2" ht="15">
      <c r="B2713" s="181">
        <v>16.904078528225877</v>
      </c>
    </row>
    <row r="2714" spans="2:2" ht="15">
      <c r="B2714" s="181">
        <v>17.12940875417199</v>
      </c>
    </row>
    <row r="2715" spans="2:2" ht="15">
      <c r="B2715" s="181">
        <v>13.503956919229157</v>
      </c>
    </row>
    <row r="2716" spans="2:2" ht="15">
      <c r="B2716" s="181">
        <v>28.968398311736504</v>
      </c>
    </row>
    <row r="2717" spans="2:2" ht="15">
      <c r="B2717" s="181">
        <v>26.145455320849607</v>
      </c>
    </row>
    <row r="2718" spans="2:2" ht="15">
      <c r="B2718" s="181">
        <v>21.79807413761548</v>
      </c>
    </row>
    <row r="2719" spans="2:2" ht="15">
      <c r="B2719" s="181">
        <v>26.843796337355197</v>
      </c>
    </row>
    <row r="2720" spans="2:2" ht="15">
      <c r="B2720" s="181">
        <v>22.844614243846529</v>
      </c>
    </row>
    <row r="2721" spans="2:2" ht="15">
      <c r="B2721" s="181">
        <v>15.942157312001173</v>
      </c>
    </row>
    <row r="2722" spans="2:2" ht="15">
      <c r="B2722" s="181">
        <v>23.14935884824213</v>
      </c>
    </row>
    <row r="2723" spans="2:2" ht="15">
      <c r="B2723" s="181">
        <v>26.483953953798171</v>
      </c>
    </row>
    <row r="2724" spans="2:2" ht="15">
      <c r="B2724" s="181">
        <v>39.398292383063364</v>
      </c>
    </row>
    <row r="2725" spans="2:2" ht="15">
      <c r="B2725" s="181">
        <v>35.933258669526296</v>
      </c>
    </row>
    <row r="2726" spans="2:2" ht="15">
      <c r="B2726" s="181">
        <v>21.191614490180658</v>
      </c>
    </row>
    <row r="2727" spans="2:2" ht="15">
      <c r="B2727" s="181">
        <v>27.371744446159653</v>
      </c>
    </row>
    <row r="2728" spans="2:2" ht="15">
      <c r="B2728" s="181">
        <v>29.73852214160355</v>
      </c>
    </row>
    <row r="2729" spans="2:2" ht="15">
      <c r="B2729" s="181">
        <v>22.382437099650577</v>
      </c>
    </row>
    <row r="2730" spans="2:2" ht="15">
      <c r="B2730" s="181">
        <v>23.823435831266956</v>
      </c>
    </row>
    <row r="2731" spans="2:2" ht="15">
      <c r="B2731" s="181">
        <v>16.168066625291416</v>
      </c>
    </row>
    <row r="2732" spans="2:2" ht="15">
      <c r="B2732" s="181">
        <v>34.116525441138194</v>
      </c>
    </row>
    <row r="2733" spans="2:2" ht="15">
      <c r="B2733" s="181">
        <v>17.66908469040526</v>
      </c>
    </row>
    <row r="2734" spans="2:2" ht="15">
      <c r="B2734" s="181">
        <v>6.7322844151164967</v>
      </c>
    </row>
    <row r="2735" spans="2:2" ht="15">
      <c r="B2735" s="181">
        <v>42.328343230499698</v>
      </c>
    </row>
    <row r="2736" spans="2:2" ht="15">
      <c r="B2736" s="181">
        <v>20.882222229418282</v>
      </c>
    </row>
    <row r="2737" spans="2:2" ht="15">
      <c r="B2737" s="181">
        <v>9.4856079030628546</v>
      </c>
    </row>
    <row r="2738" spans="2:2" ht="15">
      <c r="B2738" s="181">
        <v>14.901250446246054</v>
      </c>
    </row>
    <row r="2739" spans="2:2" ht="15">
      <c r="B2739" s="181">
        <v>24.958248847035776</v>
      </c>
    </row>
    <row r="2740" spans="2:2" ht="15">
      <c r="B2740" s="181">
        <v>28.293481729846544</v>
      </c>
    </row>
    <row r="2741" spans="2:2" ht="15">
      <c r="B2741" s="181">
        <v>16.320019318398398</v>
      </c>
    </row>
    <row r="2742" spans="2:2" ht="15">
      <c r="B2742" s="181">
        <v>10.140579800565073</v>
      </c>
    </row>
    <row r="2743" spans="2:2" ht="15">
      <c r="B2743" s="181">
        <v>24.371234229563139</v>
      </c>
    </row>
    <row r="2744" spans="2:2" ht="15">
      <c r="B2744" s="181">
        <v>16.476851025290959</v>
      </c>
    </row>
    <row r="2745" spans="2:2" ht="15">
      <c r="B2745" s="181">
        <v>22.362713811612178</v>
      </c>
    </row>
    <row r="2746" spans="2:2" ht="15">
      <c r="B2746" s="181">
        <v>27.881429064421837</v>
      </c>
    </row>
    <row r="2747" spans="2:2" ht="15">
      <c r="B2747" s="181">
        <v>12.094289098430885</v>
      </c>
    </row>
    <row r="2748" spans="2:2" ht="15">
      <c r="B2748" s="181">
        <v>26.95525030614882</v>
      </c>
    </row>
    <row r="2749" spans="2:2" ht="15">
      <c r="B2749" s="181">
        <v>15.948058821383205</v>
      </c>
    </row>
    <row r="2750" spans="2:2" ht="15">
      <c r="B2750" s="181">
        <v>24.57904781224493</v>
      </c>
    </row>
    <row r="2751" spans="2:2" ht="15">
      <c r="B2751" s="181">
        <v>15.329792601647336</v>
      </c>
    </row>
    <row r="2752" spans="2:2" ht="15">
      <c r="B2752" s="181">
        <v>22.312963536603277</v>
      </c>
    </row>
    <row r="2753" spans="2:2" ht="15">
      <c r="B2753" s="181">
        <v>17.578709634011883</v>
      </c>
    </row>
    <row r="2754" spans="2:2" ht="15">
      <c r="B2754" s="181">
        <v>11.171148947749554</v>
      </c>
    </row>
    <row r="2755" spans="2:2" ht="15">
      <c r="B2755" s="181">
        <v>7.7368165736094445</v>
      </c>
    </row>
    <row r="2756" spans="2:2" ht="15">
      <c r="B2756" s="181">
        <v>16.87718936397107</v>
      </c>
    </row>
    <row r="2757" spans="2:2" ht="15">
      <c r="B2757" s="181">
        <v>15.208017601225102</v>
      </c>
    </row>
    <row r="2758" spans="2:2" ht="15">
      <c r="B2758" s="181">
        <v>25.55827895445961</v>
      </c>
    </row>
    <row r="2759" spans="2:2" ht="15">
      <c r="B2759" s="181">
        <v>46.728877596436412</v>
      </c>
    </row>
    <row r="2760" spans="2:2" ht="15">
      <c r="B2760" s="181">
        <v>22.888613503086496</v>
      </c>
    </row>
    <row r="2761" spans="2:2" ht="15">
      <c r="B2761" s="181">
        <v>36.356782916506631</v>
      </c>
    </row>
    <row r="2762" spans="2:2" ht="15">
      <c r="B2762" s="181">
        <v>10.924344539067466</v>
      </c>
    </row>
    <row r="2763" spans="2:2" ht="15">
      <c r="B2763" s="181">
        <v>35.797764075159066</v>
      </c>
    </row>
    <row r="2764" spans="2:2" ht="15">
      <c r="B2764" s="181">
        <v>6.9176709509796845</v>
      </c>
    </row>
    <row r="2765" spans="2:2" ht="15">
      <c r="B2765" s="181">
        <v>18.053863393751083</v>
      </c>
    </row>
    <row r="2766" spans="2:2" ht="15">
      <c r="B2766" s="181">
        <v>16.737298693801929</v>
      </c>
    </row>
    <row r="2767" spans="2:2" ht="15">
      <c r="B2767" s="181">
        <v>12.627609536461648</v>
      </c>
    </row>
    <row r="2768" spans="2:2" ht="15">
      <c r="B2768" s="181">
        <v>14.770507048710037</v>
      </c>
    </row>
    <row r="2769" spans="2:2" ht="15">
      <c r="B2769" s="181">
        <v>42.369682883511643</v>
      </c>
    </row>
    <row r="2770" spans="2:2" ht="15">
      <c r="B2770" s="181">
        <v>17.372961830944334</v>
      </c>
    </row>
    <row r="2771" spans="2:2" ht="15">
      <c r="B2771" s="181">
        <v>12.700599923971687</v>
      </c>
    </row>
    <row r="2772" spans="2:2" ht="15">
      <c r="B2772" s="181">
        <v>19.366540206382428</v>
      </c>
    </row>
    <row r="2773" spans="2:2" ht="15">
      <c r="B2773" s="181">
        <v>10.157615630901738</v>
      </c>
    </row>
    <row r="2774" spans="2:2" ht="15">
      <c r="B2774" s="181">
        <v>23.189184568498735</v>
      </c>
    </row>
    <row r="2775" spans="2:2" ht="15">
      <c r="B2775" s="181">
        <v>28.547579214059603</v>
      </c>
    </row>
    <row r="2776" spans="2:2" ht="15">
      <c r="B2776" s="181">
        <v>14.416763285214678</v>
      </c>
    </row>
    <row r="2777" spans="2:2" ht="15">
      <c r="B2777" s="181">
        <v>28.533762564033026</v>
      </c>
    </row>
    <row r="2778" spans="2:2" ht="15">
      <c r="B2778" s="181">
        <v>11.654228472175394</v>
      </c>
    </row>
    <row r="2779" spans="2:2" ht="15">
      <c r="B2779" s="181">
        <v>16.775780282192123</v>
      </c>
    </row>
    <row r="2780" spans="2:2" ht="15">
      <c r="B2780" s="181">
        <v>19.632991163802078</v>
      </c>
    </row>
    <row r="2781" spans="2:2" ht="15">
      <c r="B2781" s="181">
        <v>20.515747516791123</v>
      </c>
    </row>
    <row r="2782" spans="2:2" ht="15">
      <c r="B2782" s="181">
        <v>97.190821590210319</v>
      </c>
    </row>
    <row r="2783" spans="2:2" ht="15">
      <c r="B2783" s="181">
        <v>16.515053498355289</v>
      </c>
    </row>
    <row r="2784" spans="2:2" ht="15">
      <c r="B2784" s="181">
        <v>6.4007870145415282</v>
      </c>
    </row>
    <row r="2785" spans="2:2" ht="15">
      <c r="B2785" s="181">
        <v>20.359706053857</v>
      </c>
    </row>
    <row r="2786" spans="2:2" ht="15">
      <c r="B2786" s="181">
        <v>27.605608925177929</v>
      </c>
    </row>
    <row r="2787" spans="2:2" ht="15">
      <c r="B2787" s="181">
        <v>8.5570989311044379</v>
      </c>
    </row>
    <row r="2788" spans="2:2" ht="15">
      <c r="B2788" s="181">
        <v>21.650984570290642</v>
      </c>
    </row>
    <row r="2789" spans="2:2" ht="15">
      <c r="B2789" s="181">
        <v>21.717740634212522</v>
      </c>
    </row>
    <row r="2790" spans="2:2" ht="15">
      <c r="B2790" s="181">
        <v>31.248314348040967</v>
      </c>
    </row>
    <row r="2791" spans="2:2" ht="15">
      <c r="B2791" s="181">
        <v>26.041256766161364</v>
      </c>
    </row>
    <row r="2792" spans="2:2" ht="15">
      <c r="B2792" s="181">
        <v>6.5176906241208412</v>
      </c>
    </row>
    <row r="2793" spans="2:2" ht="15">
      <c r="B2793" s="181">
        <v>27.339146328451697</v>
      </c>
    </row>
    <row r="2794" spans="2:2" ht="15">
      <c r="B2794" s="181">
        <v>47.752161256492393</v>
      </c>
    </row>
    <row r="2795" spans="2:2" ht="15">
      <c r="B2795" s="181">
        <v>14.919570220844644</v>
      </c>
    </row>
    <row r="2796" spans="2:2" ht="15">
      <c r="B2796" s="181">
        <v>41.086960568731179</v>
      </c>
    </row>
    <row r="2797" spans="2:2" ht="15">
      <c r="B2797" s="181">
        <v>30.624586217629179</v>
      </c>
    </row>
    <row r="2798" spans="2:2" ht="15">
      <c r="B2798" s="181">
        <v>12.188622480786224</v>
      </c>
    </row>
    <row r="2799" spans="2:2" ht="15">
      <c r="B2799" s="181">
        <v>11.12863028563349</v>
      </c>
    </row>
    <row r="2800" spans="2:2" ht="15">
      <c r="B2800" s="181">
        <v>15.69548381391478</v>
      </c>
    </row>
    <row r="2801" spans="2:2" ht="15">
      <c r="B2801" s="181">
        <v>28.776736885020586</v>
      </c>
    </row>
    <row r="2802" spans="2:2" ht="15">
      <c r="B2802" s="181">
        <v>13.879164842816365</v>
      </c>
    </row>
    <row r="2803" spans="2:2" ht="15">
      <c r="B2803" s="181">
        <v>24.033423875189641</v>
      </c>
    </row>
    <row r="2804" spans="2:2" ht="15">
      <c r="B2804" s="181">
        <v>10.548725218672333</v>
      </c>
    </row>
    <row r="2805" spans="2:2" ht="15">
      <c r="B2805" s="181">
        <v>10.03640663309778</v>
      </c>
    </row>
    <row r="2806" spans="2:2" ht="15">
      <c r="B2806" s="181">
        <v>13.618861678780025</v>
      </c>
    </row>
    <row r="2807" spans="2:2" ht="15">
      <c r="B2807" s="181">
        <v>14.679941345711194</v>
      </c>
    </row>
    <row r="2808" spans="2:2" ht="15">
      <c r="B2808" s="181">
        <v>24.643038278921033</v>
      </c>
    </row>
    <row r="2809" spans="2:2" ht="15">
      <c r="B2809" s="181">
        <v>31.913712933832599</v>
      </c>
    </row>
    <row r="2810" spans="2:2" ht="15">
      <c r="B2810" s="181">
        <v>31.345710164500783</v>
      </c>
    </row>
    <row r="2811" spans="2:2" ht="15">
      <c r="B2811" s="181">
        <v>14.171487189202104</v>
      </c>
    </row>
    <row r="2812" spans="2:2" ht="15">
      <c r="B2812" s="181">
        <v>16.403149752333434</v>
      </c>
    </row>
    <row r="2813" spans="2:2" ht="15">
      <c r="B2813" s="181">
        <v>11.096039738107878</v>
      </c>
    </row>
    <row r="2814" spans="2:2" ht="15">
      <c r="B2814" s="181">
        <v>18.235532423063539</v>
      </c>
    </row>
    <row r="2815" spans="2:2" ht="15">
      <c r="B2815" s="181">
        <v>10.321793626607802</v>
      </c>
    </row>
    <row r="2816" spans="2:2" ht="15">
      <c r="B2816" s="181">
        <v>21.903529193283948</v>
      </c>
    </row>
    <row r="2817" spans="2:2" ht="15">
      <c r="B2817" s="181">
        <v>29.233810921920202</v>
      </c>
    </row>
    <row r="2818" spans="2:2" ht="15">
      <c r="B2818" s="181">
        <v>14.495219644573066</v>
      </c>
    </row>
    <row r="2819" spans="2:2" ht="15">
      <c r="B2819" s="181">
        <v>27.718304734356078</v>
      </c>
    </row>
    <row r="2820" spans="2:2" ht="15">
      <c r="B2820" s="181">
        <v>20.528774616119865</v>
      </c>
    </row>
    <row r="2821" spans="2:2" ht="15">
      <c r="B2821" s="181">
        <v>28.404635348663824</v>
      </c>
    </row>
    <row r="2822" spans="2:2" ht="15">
      <c r="B2822" s="181">
        <v>17.697824340763184</v>
      </c>
    </row>
    <row r="2823" spans="2:2" ht="15">
      <c r="B2823" s="181">
        <v>6.9484629967176614</v>
      </c>
    </row>
    <row r="2824" spans="2:2" ht="15">
      <c r="B2824" s="181">
        <v>14.349040684628472</v>
      </c>
    </row>
    <row r="2825" spans="2:2" ht="15">
      <c r="B2825" s="181">
        <v>17.108938938601582</v>
      </c>
    </row>
    <row r="2826" spans="2:2" ht="15">
      <c r="B2826" s="181">
        <v>16.711043869688694</v>
      </c>
    </row>
    <row r="2827" spans="2:2" ht="15">
      <c r="B2827" s="181">
        <v>14.061221681075006</v>
      </c>
    </row>
    <row r="2828" spans="2:2" ht="15">
      <c r="B2828" s="181">
        <v>25.108597799509393</v>
      </c>
    </row>
    <row r="2829" spans="2:2" ht="15">
      <c r="B2829" s="181">
        <v>28.828494233670515</v>
      </c>
    </row>
    <row r="2830" spans="2:2" ht="15">
      <c r="B2830" s="181">
        <v>25.07415365867536</v>
      </c>
    </row>
    <row r="2831" spans="2:2" ht="15">
      <c r="B2831" s="181">
        <v>4.1107730105646025</v>
      </c>
    </row>
    <row r="2832" spans="2:2" ht="15">
      <c r="B2832" s="181">
        <v>25.866062252900743</v>
      </c>
    </row>
    <row r="2833" spans="2:2" ht="15">
      <c r="B2833" s="181">
        <v>7.2600161671014698</v>
      </c>
    </row>
    <row r="2834" spans="2:2" ht="15">
      <c r="B2834" s="181">
        <v>17.300364040739055</v>
      </c>
    </row>
    <row r="2835" spans="2:2" ht="15">
      <c r="B2835" s="181">
        <v>18.022709024027446</v>
      </c>
    </row>
    <row r="2836" spans="2:2" ht="15">
      <c r="B2836" s="181">
        <v>13.173512591956552</v>
      </c>
    </row>
    <row r="2837" spans="2:2" ht="15">
      <c r="B2837" s="181">
        <v>31.359313687969706</v>
      </c>
    </row>
    <row r="2838" spans="2:2" ht="15">
      <c r="B2838" s="181">
        <v>22.001760146036332</v>
      </c>
    </row>
    <row r="2839" spans="2:2" ht="15">
      <c r="B2839" s="181">
        <v>26.166366361670569</v>
      </c>
    </row>
    <row r="2840" spans="2:2" ht="15">
      <c r="B2840" s="181">
        <v>12.1578168962172</v>
      </c>
    </row>
    <row r="2841" spans="2:2" ht="15">
      <c r="B2841" s="181">
        <v>57.099336181790818</v>
      </c>
    </row>
    <row r="2842" spans="2:2" ht="15">
      <c r="B2842" s="181">
        <v>7.8689396957415862</v>
      </c>
    </row>
    <row r="2843" spans="2:2" ht="15">
      <c r="B2843" s="181">
        <v>51.432468762638294</v>
      </c>
    </row>
    <row r="2844" spans="2:2" ht="15">
      <c r="B2844" s="181">
        <v>9.0843560210971592</v>
      </c>
    </row>
    <row r="2845" spans="2:2" ht="15">
      <c r="B2845" s="181">
        <v>47.177008834566408</v>
      </c>
    </row>
    <row r="2846" spans="2:2" ht="15">
      <c r="B2846" s="181">
        <v>23.21798456032619</v>
      </c>
    </row>
    <row r="2847" spans="2:2" ht="15">
      <c r="B2847" s="181">
        <v>8.0267149361785872</v>
      </c>
    </row>
    <row r="2848" spans="2:2" ht="15">
      <c r="B2848" s="181">
        <v>27.631853543733357</v>
      </c>
    </row>
    <row r="2849" spans="2:2" ht="15">
      <c r="B2849" s="181">
        <v>21.228356666834095</v>
      </c>
    </row>
    <row r="2850" spans="2:2" ht="15">
      <c r="B2850" s="181">
        <v>25.019119857839168</v>
      </c>
    </row>
    <row r="2851" spans="2:2" ht="15">
      <c r="B2851" s="181">
        <v>39.166669480339934</v>
      </c>
    </row>
    <row r="2852" spans="2:2" ht="15">
      <c r="B2852" s="181">
        <v>13.414772003143696</v>
      </c>
    </row>
    <row r="2853" spans="2:2" ht="15">
      <c r="B2853" s="181">
        <v>8.0103340381484287</v>
      </c>
    </row>
    <row r="2854" spans="2:2" ht="15">
      <c r="B2854" s="181">
        <v>44.717350454250052</v>
      </c>
    </row>
    <row r="2855" spans="2:2" ht="15">
      <c r="B2855" s="181">
        <v>22.126394608688905</v>
      </c>
    </row>
    <row r="2856" spans="2:2" ht="15">
      <c r="B2856" s="181">
        <v>11.834066891132876</v>
      </c>
    </row>
    <row r="2857" spans="2:2" ht="15">
      <c r="B2857" s="181">
        <v>11.611755327387311</v>
      </c>
    </row>
    <row r="2858" spans="2:2" ht="15">
      <c r="B2858" s="181">
        <v>21.676752606642264</v>
      </c>
    </row>
    <row r="2859" spans="2:2" ht="15">
      <c r="B2859" s="181">
        <v>14.68733219084846</v>
      </c>
    </row>
    <row r="2860" spans="2:2" ht="15">
      <c r="B2860" s="181">
        <v>28.037264763631441</v>
      </c>
    </row>
    <row r="2861" spans="2:2" ht="15">
      <c r="B2861" s="181">
        <v>15.140330778265195</v>
      </c>
    </row>
    <row r="2862" spans="2:2" ht="15">
      <c r="B2862" s="181">
        <v>18.305233397494181</v>
      </c>
    </row>
    <row r="2863" spans="2:2" ht="15">
      <c r="B2863" s="181">
        <v>13.653184835370499</v>
      </c>
    </row>
    <row r="2864" spans="2:2" ht="15">
      <c r="B2864" s="181">
        <v>9.8002786155569392</v>
      </c>
    </row>
    <row r="2865" spans="2:2" ht="15">
      <c r="B2865" s="181">
        <v>18.665586486388136</v>
      </c>
    </row>
    <row r="2866" spans="2:2" ht="15">
      <c r="B2866" s="181">
        <v>11.265329155195678</v>
      </c>
    </row>
    <row r="2867" spans="2:2" ht="15">
      <c r="B2867" s="181">
        <v>12.026374175987772</v>
      </c>
    </row>
    <row r="2868" spans="2:2" ht="15">
      <c r="B2868" s="181">
        <v>14.727859755980115</v>
      </c>
    </row>
    <row r="2869" spans="2:2" ht="15">
      <c r="B2869" s="181">
        <v>21.754972832525084</v>
      </c>
    </row>
    <row r="2870" spans="2:2" ht="15">
      <c r="B2870" s="181">
        <v>21.686144999968974</v>
      </c>
    </row>
    <row r="2871" spans="2:2" ht="15">
      <c r="B2871" s="181">
        <v>15.822383988184148</v>
      </c>
    </row>
    <row r="2872" spans="2:2" ht="15">
      <c r="B2872" s="181">
        <v>18.864324032815102</v>
      </c>
    </row>
    <row r="2873" spans="2:2" ht="15">
      <c r="B2873" s="181">
        <v>8.1004963211546599</v>
      </c>
    </row>
    <row r="2874" spans="2:2" ht="15">
      <c r="B2874" s="181">
        <v>21.50741778004646</v>
      </c>
    </row>
    <row r="2875" spans="2:2" ht="15">
      <c r="B2875" s="181">
        <v>23.35608296302555</v>
      </c>
    </row>
    <row r="2876" spans="2:2" ht="15">
      <c r="B2876" s="181">
        <v>14.184310311073261</v>
      </c>
    </row>
    <row r="2877" spans="2:2" ht="15">
      <c r="B2877" s="181">
        <v>78.270635716277113</v>
      </c>
    </row>
    <row r="2878" spans="2:2" ht="15">
      <c r="B2878" s="181">
        <v>19.932872444038079</v>
      </c>
    </row>
    <row r="2879" spans="2:2" ht="15">
      <c r="B2879" s="181">
        <v>28.09096028983662</v>
      </c>
    </row>
    <row r="2880" spans="2:2" ht="15">
      <c r="B2880" s="181">
        <v>8.6920797854310266</v>
      </c>
    </row>
    <row r="2881" spans="2:2" ht="15">
      <c r="B2881" s="181">
        <v>23.015830424043447</v>
      </c>
    </row>
    <row r="2882" spans="2:2" ht="15">
      <c r="B2882" s="181">
        <v>32.038264681636612</v>
      </c>
    </row>
    <row r="2883" spans="2:2" ht="15">
      <c r="B2883" s="181">
        <v>23.895894503628814</v>
      </c>
    </row>
    <row r="2884" spans="2:2" ht="15">
      <c r="B2884" s="181">
        <v>7.5676081981665835</v>
      </c>
    </row>
    <row r="2885" spans="2:2" ht="15">
      <c r="B2885" s="181">
        <v>34.692017431398568</v>
      </c>
    </row>
    <row r="2886" spans="2:2" ht="15">
      <c r="B2886" s="181">
        <v>15.635592415801653</v>
      </c>
    </row>
    <row r="2887" spans="2:2" ht="15">
      <c r="B2887" s="181">
        <v>19.074711459498317</v>
      </c>
    </row>
    <row r="2888" spans="2:2" ht="15">
      <c r="B2888" s="181">
        <v>23.811722200618249</v>
      </c>
    </row>
    <row r="2889" spans="2:2" ht="15">
      <c r="B2889" s="181">
        <v>23.959208902776101</v>
      </c>
    </row>
    <row r="2890" spans="2:2" ht="15">
      <c r="B2890" s="181">
        <v>18.758146317162822</v>
      </c>
    </row>
    <row r="2891" spans="2:2" ht="15">
      <c r="B2891" s="181">
        <v>30.636132417464104</v>
      </c>
    </row>
    <row r="2892" spans="2:2" ht="15">
      <c r="B2892" s="181">
        <v>28.109223949684782</v>
      </c>
    </row>
    <row r="2893" spans="2:2" ht="15">
      <c r="B2893" s="181">
        <v>21.879452393824288</v>
      </c>
    </row>
    <row r="2894" spans="2:2" ht="15">
      <c r="B2894" s="181">
        <v>36.273075510177044</v>
      </c>
    </row>
    <row r="2895" spans="2:2" ht="15">
      <c r="B2895" s="181">
        <v>22.468157488965424</v>
      </c>
    </row>
    <row r="2896" spans="2:2" ht="15">
      <c r="B2896" s="181">
        <v>25.32588821499678</v>
      </c>
    </row>
    <row r="2897" spans="2:2" ht="15">
      <c r="B2897" s="181">
        <v>23.00580132899653</v>
      </c>
    </row>
    <row r="2898" spans="2:2" ht="15">
      <c r="B2898" s="181">
        <v>24.407002204990714</v>
      </c>
    </row>
    <row r="2899" spans="2:2" ht="15">
      <c r="B2899" s="181">
        <v>29.640938622464574</v>
      </c>
    </row>
    <row r="2900" spans="2:2" ht="15">
      <c r="B2900" s="181">
        <v>21.035026304282599</v>
      </c>
    </row>
    <row r="2901" spans="2:2" ht="15">
      <c r="B2901" s="181">
        <v>22.06121640485658</v>
      </c>
    </row>
    <row r="2902" spans="2:2" ht="15">
      <c r="B2902" s="181">
        <v>20.786460829413446</v>
      </c>
    </row>
    <row r="2903" spans="2:2" ht="15">
      <c r="B2903" s="181">
        <v>10.75040452907041</v>
      </c>
    </row>
    <row r="2904" spans="2:2" ht="15">
      <c r="B2904" s="181">
        <v>13.661922510646546</v>
      </c>
    </row>
    <row r="2905" spans="2:2" ht="15">
      <c r="B2905" s="181">
        <v>14.602158607038524</v>
      </c>
    </row>
    <row r="2906" spans="2:2" ht="15">
      <c r="B2906" s="181">
        <v>15.269609763577341</v>
      </c>
    </row>
    <row r="2907" spans="2:2" ht="15">
      <c r="B2907" s="181">
        <v>22.375365415618084</v>
      </c>
    </row>
    <row r="2908" spans="2:2" ht="15">
      <c r="B2908" s="181">
        <v>18.884862754451234</v>
      </c>
    </row>
    <row r="2909" spans="2:2" ht="15">
      <c r="B2909" s="181">
        <v>28.596677247435405</v>
      </c>
    </row>
    <row r="2910" spans="2:2" ht="15">
      <c r="B2910" s="181">
        <v>28.650159413208559</v>
      </c>
    </row>
    <row r="2911" spans="2:2" ht="15">
      <c r="B2911" s="181">
        <v>12.727861816757187</v>
      </c>
    </row>
    <row r="2912" spans="2:2" ht="15">
      <c r="B2912" s="181">
        <v>17.360817960522194</v>
      </c>
    </row>
    <row r="2913" spans="2:2" ht="15">
      <c r="B2913" s="181">
        <v>26.870405277484924</v>
      </c>
    </row>
    <row r="2914" spans="2:2" ht="15">
      <c r="B2914" s="181">
        <v>37.755363512666385</v>
      </c>
    </row>
    <row r="2915" spans="2:2" ht="15">
      <c r="B2915" s="181">
        <v>26.85197979834367</v>
      </c>
    </row>
    <row r="2916" spans="2:2" ht="15">
      <c r="B2916" s="181">
        <v>18.420452269535318</v>
      </c>
    </row>
    <row r="2917" spans="2:2" ht="15">
      <c r="B2917" s="181">
        <v>35.668638024041641</v>
      </c>
    </row>
    <row r="2918" spans="2:2" ht="15">
      <c r="B2918" s="181">
        <v>13.786576836635939</v>
      </c>
    </row>
    <row r="2919" spans="2:2" ht="15">
      <c r="B2919" s="181">
        <v>43.809060555501951</v>
      </c>
    </row>
    <row r="2920" spans="2:2" ht="15">
      <c r="B2920" s="181">
        <v>19.543894413249397</v>
      </c>
    </row>
    <row r="2921" spans="2:2" ht="15">
      <c r="B2921" s="181">
        <v>10.77749885479045</v>
      </c>
    </row>
    <row r="2922" spans="2:2" ht="15">
      <c r="B2922" s="181">
        <v>15.985285362719873</v>
      </c>
    </row>
    <row r="2923" spans="2:2" ht="15">
      <c r="B2923" s="181">
        <v>16.746241321753867</v>
      </c>
    </row>
    <row r="2924" spans="2:2" ht="15">
      <c r="B2924" s="181">
        <v>17.373579111271564</v>
      </c>
    </row>
    <row r="2925" spans="2:2" ht="15">
      <c r="B2925" s="181">
        <v>23.745271741429193</v>
      </c>
    </row>
    <row r="2926" spans="2:2" ht="15">
      <c r="B2926" s="181">
        <v>9.8507404663751021</v>
      </c>
    </row>
    <row r="2927" spans="2:2" ht="15">
      <c r="B2927" s="181">
        <v>22.957846203398056</v>
      </c>
    </row>
    <row r="2928" spans="2:2" ht="15">
      <c r="B2928" s="181">
        <v>25.91909740428245</v>
      </c>
    </row>
    <row r="2929" spans="2:2" ht="15">
      <c r="B2929" s="181">
        <v>31.424798349355374</v>
      </c>
    </row>
    <row r="2930" spans="2:2" ht="15">
      <c r="B2930" s="181">
        <v>9.7254802450332747</v>
      </c>
    </row>
    <row r="2931" spans="2:2" ht="15">
      <c r="B2931" s="181">
        <v>13.30532738512551</v>
      </c>
    </row>
    <row r="2932" spans="2:2" ht="15">
      <c r="B2932" s="181">
        <v>20.096998741787505</v>
      </c>
    </row>
    <row r="2933" spans="2:2" ht="15">
      <c r="B2933" s="181">
        <v>50.562381292639138</v>
      </c>
    </row>
    <row r="2934" spans="2:2" ht="15">
      <c r="B2934" s="181">
        <v>18.177924174061868</v>
      </c>
    </row>
    <row r="2935" spans="2:2" ht="15">
      <c r="B2935" s="181">
        <v>12.452138398633</v>
      </c>
    </row>
    <row r="2936" spans="2:2" ht="15">
      <c r="B2936" s="181">
        <v>8.9250811166886752</v>
      </c>
    </row>
    <row r="2937" spans="2:2" ht="15">
      <c r="B2937" s="181">
        <v>17.212713961511032</v>
      </c>
    </row>
    <row r="2938" spans="2:2" ht="15">
      <c r="B2938" s="181">
        <v>33.132250730131879</v>
      </c>
    </row>
    <row r="2939" spans="2:2" ht="15">
      <c r="B2939" s="181">
        <v>8.8297797990160074</v>
      </c>
    </row>
    <row r="2940" spans="2:2" ht="15">
      <c r="B2940" s="181">
        <v>8.3935376935422052</v>
      </c>
    </row>
    <row r="2941" spans="2:2" ht="15">
      <c r="B2941" s="181">
        <v>24.844107675010282</v>
      </c>
    </row>
    <row r="2942" spans="2:2" ht="15">
      <c r="B2942" s="181">
        <v>28.815716481142729</v>
      </c>
    </row>
    <row r="2943" spans="2:2" ht="15">
      <c r="B2943" s="181">
        <v>35.717424949182558</v>
      </c>
    </row>
    <row r="2944" spans="2:2" ht="15">
      <c r="B2944" s="181">
        <v>16.081336170359336</v>
      </c>
    </row>
    <row r="2945" spans="2:2" ht="15">
      <c r="B2945" s="181">
        <v>24.524988216292098</v>
      </c>
    </row>
    <row r="2946" spans="2:2" ht="15">
      <c r="B2946" s="181">
        <v>9.1510914387520046</v>
      </c>
    </row>
    <row r="2947" spans="2:2" ht="15">
      <c r="B2947" s="181">
        <v>8.4809344725055134</v>
      </c>
    </row>
    <row r="2948" spans="2:2" ht="15">
      <c r="B2948" s="181">
        <v>13.784280778603636</v>
      </c>
    </row>
    <row r="2949" spans="2:2" ht="15">
      <c r="B2949" s="181">
        <v>39.651371212968087</v>
      </c>
    </row>
    <row r="2950" spans="2:2" ht="15">
      <c r="B2950" s="181">
        <v>11.724391015070916</v>
      </c>
    </row>
    <row r="2951" spans="2:2" ht="15">
      <c r="B2951" s="181">
        <v>14.223968121918054</v>
      </c>
    </row>
    <row r="2952" spans="2:2" ht="15">
      <c r="B2952" s="181">
        <v>10.453101752187733</v>
      </c>
    </row>
    <row r="2953" spans="2:2" ht="15">
      <c r="B2953" s="181">
        <v>48.18585993785873</v>
      </c>
    </row>
    <row r="2954" spans="2:2" ht="15">
      <c r="B2954" s="181">
        <v>21.305256195685359</v>
      </c>
    </row>
    <row r="2955" spans="2:2" ht="15">
      <c r="B2955" s="181">
        <v>18.577476396806329</v>
      </c>
    </row>
    <row r="2956" spans="2:2" ht="15">
      <c r="B2956" s="181">
        <v>43.50621127680396</v>
      </c>
    </row>
    <row r="2957" spans="2:2" ht="15">
      <c r="B2957" s="181">
        <v>48.223422618185097</v>
      </c>
    </row>
    <row r="2958" spans="2:2" ht="15">
      <c r="B2958" s="181">
        <v>27.640136794430017</v>
      </c>
    </row>
    <row r="2959" spans="2:2" ht="15">
      <c r="B2959" s="181">
        <v>36.707800279832661</v>
      </c>
    </row>
    <row r="2960" spans="2:2" ht="15">
      <c r="B2960" s="181">
        <v>8.2251069155049308</v>
      </c>
    </row>
    <row r="2961" spans="2:2" ht="15">
      <c r="B2961" s="181">
        <v>9.6554085973821042</v>
      </c>
    </row>
    <row r="2962" spans="2:2" ht="15">
      <c r="B2962" s="181">
        <v>14.549565840220032</v>
      </c>
    </row>
    <row r="2963" spans="2:2" ht="15">
      <c r="B2963" s="181">
        <v>19.851243871869023</v>
      </c>
    </row>
    <row r="2964" spans="2:2" ht="15">
      <c r="B2964" s="181">
        <v>26.863036980292406</v>
      </c>
    </row>
    <row r="2965" spans="2:2" ht="15">
      <c r="B2965" s="181">
        <v>30.933433542618797</v>
      </c>
    </row>
    <row r="2966" spans="2:2" ht="15">
      <c r="B2966" s="181">
        <v>18.507624056849981</v>
      </c>
    </row>
    <row r="2967" spans="2:2" ht="15">
      <c r="B2967" s="181">
        <v>33.346353924835221</v>
      </c>
    </row>
    <row r="2968" spans="2:2" ht="15">
      <c r="B2968" s="181">
        <v>23.092284307270706</v>
      </c>
    </row>
    <row r="2969" spans="2:2" ht="15">
      <c r="B2969" s="181">
        <v>23.362563985558648</v>
      </c>
    </row>
    <row r="2970" spans="2:2" ht="15">
      <c r="B2970" s="181">
        <v>29.999288478389712</v>
      </c>
    </row>
    <row r="2971" spans="2:2" ht="15">
      <c r="B2971" s="181">
        <v>15.035565438444733</v>
      </c>
    </row>
    <row r="2972" spans="2:2" ht="15">
      <c r="B2972" s="181">
        <v>23.850828025073799</v>
      </c>
    </row>
    <row r="2973" spans="2:2" ht="15">
      <c r="B2973" s="181">
        <v>8.342997578137652</v>
      </c>
    </row>
    <row r="2974" spans="2:2" ht="15">
      <c r="B2974" s="181">
        <v>10.97184015010736</v>
      </c>
    </row>
    <row r="2975" spans="2:2" ht="15">
      <c r="B2975" s="181">
        <v>14.302864506857681</v>
      </c>
    </row>
    <row r="2976" spans="2:2" ht="15">
      <c r="B2976" s="181">
        <v>15.501327106751996</v>
      </c>
    </row>
    <row r="2977" spans="2:2" ht="15">
      <c r="B2977" s="181">
        <v>14.963472915084008</v>
      </c>
    </row>
    <row r="2978" spans="2:2" ht="15">
      <c r="B2978" s="181">
        <v>35.24791030417753</v>
      </c>
    </row>
    <row r="2979" spans="2:2" ht="15">
      <c r="B2979" s="181">
        <v>15.74817428428479</v>
      </c>
    </row>
    <row r="2980" spans="2:2" ht="15">
      <c r="B2980" s="181">
        <v>24.537411017657917</v>
      </c>
    </row>
    <row r="2981" spans="2:2" ht="15">
      <c r="B2981" s="181">
        <v>15.981860909842593</v>
      </c>
    </row>
    <row r="2982" spans="2:2" ht="15">
      <c r="B2982" s="181">
        <v>23.511216619396389</v>
      </c>
    </row>
    <row r="2983" spans="2:2" ht="15">
      <c r="B2983" s="181">
        <v>43.035287064675238</v>
      </c>
    </row>
    <row r="2984" spans="2:2" ht="15">
      <c r="B2984" s="181">
        <v>15.535521412279607</v>
      </c>
    </row>
    <row r="2985" spans="2:2" ht="15">
      <c r="B2985" s="181">
        <v>17.503546601145967</v>
      </c>
    </row>
    <row r="2986" spans="2:2" ht="15">
      <c r="B2986" s="181">
        <v>22.875059464904378</v>
      </c>
    </row>
    <row r="2987" spans="2:2" ht="15">
      <c r="B2987" s="181">
        <v>16.747178231297479</v>
      </c>
    </row>
    <row r="2988" spans="2:2" ht="15">
      <c r="B2988" s="181">
        <v>21.050082457150783</v>
      </c>
    </row>
    <row r="2989" spans="2:2" ht="15">
      <c r="B2989" s="181">
        <v>20.553658149844143</v>
      </c>
    </row>
    <row r="2990" spans="2:2" ht="15">
      <c r="B2990" s="181">
        <v>22.169926405136017</v>
      </c>
    </row>
    <row r="2991" spans="2:2" ht="15">
      <c r="B2991" s="181">
        <v>25.647657967675034</v>
      </c>
    </row>
    <row r="2992" spans="2:2" ht="15">
      <c r="B2992" s="181">
        <v>6.0400172553327272</v>
      </c>
    </row>
    <row r="2993" spans="2:2" ht="15">
      <c r="B2993" s="181">
        <v>15.134047334067617</v>
      </c>
    </row>
    <row r="2994" spans="2:2" ht="15">
      <c r="B2994" s="181">
        <v>14.910573608785242</v>
      </c>
    </row>
    <row r="2995" spans="2:2" ht="15">
      <c r="B2995" s="181">
        <v>24.418471461627004</v>
      </c>
    </row>
    <row r="2996" spans="2:2" ht="15">
      <c r="B2996" s="181">
        <v>7.1515929589724863</v>
      </c>
    </row>
    <row r="2997" spans="2:2" ht="15">
      <c r="B2997" s="181">
        <v>23.108250401003552</v>
      </c>
    </row>
    <row r="2998" spans="2:2" ht="15">
      <c r="B2998" s="181">
        <v>27.324690198501536</v>
      </c>
    </row>
    <row r="2999" spans="2:2" ht="15">
      <c r="B2999" s="181">
        <v>15.79695103951183</v>
      </c>
    </row>
    <row r="3000" spans="2:2" ht="15">
      <c r="B3000" s="181">
        <v>30.355054830141476</v>
      </c>
    </row>
    <row r="3001" spans="2:2" ht="15">
      <c r="B3001" s="181">
        <v>14.720246967236204</v>
      </c>
    </row>
    <row r="3002" spans="2:2" ht="15">
      <c r="B3002" s="181">
        <v>18.298058969317928</v>
      </c>
    </row>
    <row r="3003" spans="2:2" ht="15">
      <c r="B3003" s="181">
        <v>25.936652520252252</v>
      </c>
    </row>
    <row r="3004" spans="2:2" ht="15">
      <c r="B3004" s="181">
        <v>29.490344928556315</v>
      </c>
    </row>
    <row r="3005" spans="2:2" ht="15">
      <c r="B3005" s="181">
        <v>23.977487185682126</v>
      </c>
    </row>
    <row r="3006" spans="2:2" ht="15">
      <c r="B3006" s="181">
        <v>18.906473073914832</v>
      </c>
    </row>
    <row r="3007" spans="2:2" ht="15">
      <c r="B3007" s="181">
        <v>23.422489431769421</v>
      </c>
    </row>
    <row r="3008" spans="2:2" ht="15">
      <c r="B3008" s="181">
        <v>14.024234935876731</v>
      </c>
    </row>
    <row r="3009" spans="2:2" ht="15">
      <c r="B3009" s="181">
        <v>10.613931797982803</v>
      </c>
    </row>
    <row r="3010" spans="2:2" ht="15">
      <c r="B3010" s="181">
        <v>41.883830707507116</v>
      </c>
    </row>
    <row r="3011" spans="2:2" ht="15">
      <c r="B3011" s="181">
        <v>3.695247721428407</v>
      </c>
    </row>
    <row r="3012" spans="2:2" ht="15">
      <c r="B3012" s="181">
        <v>13.211125881486673</v>
      </c>
    </row>
    <row r="3013" spans="2:2" ht="15">
      <c r="B3013" s="181">
        <v>13.606593904026424</v>
      </c>
    </row>
    <row r="3014" spans="2:2" ht="15">
      <c r="B3014" s="181">
        <v>8.0787056192552598</v>
      </c>
    </row>
    <row r="3015" spans="2:2" ht="15">
      <c r="B3015" s="181">
        <v>14.699190011767691</v>
      </c>
    </row>
    <row r="3016" spans="2:2" ht="15">
      <c r="B3016" s="181">
        <v>33.593677876133619</v>
      </c>
    </row>
    <row r="3017" spans="2:2" ht="15">
      <c r="B3017" s="181">
        <v>12.624403537003955</v>
      </c>
    </row>
    <row r="3018" spans="2:2" ht="15">
      <c r="B3018" s="181">
        <v>15.963281768535117</v>
      </c>
    </row>
    <row r="3019" spans="2:2" ht="15">
      <c r="B3019" s="181">
        <v>11.625912784081262</v>
      </c>
    </row>
    <row r="3020" spans="2:2" ht="15">
      <c r="B3020" s="181">
        <v>32.696751225019504</v>
      </c>
    </row>
    <row r="3021" spans="2:2" ht="15">
      <c r="B3021" s="181">
        <v>13.713433259337402</v>
      </c>
    </row>
    <row r="3022" spans="2:2" ht="15">
      <c r="B3022" s="181">
        <v>3.9540674723814053</v>
      </c>
    </row>
    <row r="3023" spans="2:2" ht="15">
      <c r="B3023" s="181">
        <v>6.094083115751844</v>
      </c>
    </row>
    <row r="3024" spans="2:2" ht="15">
      <c r="B3024" s="181">
        <v>21.044026149757403</v>
      </c>
    </row>
    <row r="3025" spans="2:2" ht="15">
      <c r="B3025" s="181">
        <v>17.755325403356064</v>
      </c>
    </row>
    <row r="3026" spans="2:2" ht="15">
      <c r="B3026" s="181">
        <v>12.614456345811126</v>
      </c>
    </row>
    <row r="3027" spans="2:2" ht="15">
      <c r="B3027" s="181">
        <v>20.190409621907474</v>
      </c>
    </row>
    <row r="3028" spans="2:2" ht="15">
      <c r="B3028" s="181">
        <v>9.4244506334125244</v>
      </c>
    </row>
    <row r="3029" spans="2:2" ht="15">
      <c r="B3029" s="181">
        <v>19.398098622526671</v>
      </c>
    </row>
    <row r="3030" spans="2:2" ht="15">
      <c r="B3030" s="181">
        <v>31.281478774693667</v>
      </c>
    </row>
    <row r="3031" spans="2:2" ht="15">
      <c r="B3031" s="181">
        <v>8.2534551048879585</v>
      </c>
    </row>
    <row r="3032" spans="2:2" ht="15">
      <c r="B3032" s="181">
        <v>15.867365899659649</v>
      </c>
    </row>
    <row r="3033" spans="2:2" ht="15">
      <c r="B3033" s="181">
        <v>21.714903723649332</v>
      </c>
    </row>
    <row r="3034" spans="2:2" ht="15">
      <c r="B3034" s="181">
        <v>28.092366722910604</v>
      </c>
    </row>
    <row r="3035" spans="2:2" ht="15">
      <c r="B3035" s="181">
        <v>14.600669194021417</v>
      </c>
    </row>
    <row r="3036" spans="2:2" ht="15">
      <c r="B3036" s="181">
        <v>19.772718800626304</v>
      </c>
    </row>
    <row r="3037" spans="2:2" ht="15">
      <c r="B3037" s="181">
        <v>24.626178854233761</v>
      </c>
    </row>
    <row r="3038" spans="2:2" ht="15">
      <c r="B3038" s="181">
        <v>6.9582977039473013</v>
      </c>
    </row>
    <row r="3039" spans="2:2" ht="15">
      <c r="B3039" s="181">
        <v>14.326318785397056</v>
      </c>
    </row>
    <row r="3040" spans="2:2" ht="15">
      <c r="B3040" s="181">
        <v>8.3518814393208221</v>
      </c>
    </row>
    <row r="3041" spans="2:2" ht="15">
      <c r="B3041" s="181">
        <v>38.644913379449079</v>
      </c>
    </row>
    <row r="3042" spans="2:2" ht="15">
      <c r="B3042" s="181">
        <v>16.517685701002904</v>
      </c>
    </row>
    <row r="3043" spans="2:2" ht="15">
      <c r="B3043" s="181">
        <v>42.031675661669048</v>
      </c>
    </row>
    <row r="3044" spans="2:2" ht="15">
      <c r="B3044" s="181">
        <v>20.302527067629374</v>
      </c>
    </row>
    <row r="3045" spans="2:2" ht="15">
      <c r="B3045" s="181">
        <v>41.118248047112907</v>
      </c>
    </row>
    <row r="3046" spans="2:2" ht="15">
      <c r="B3046" s="181">
        <v>13.681867591890699</v>
      </c>
    </row>
    <row r="3047" spans="2:2" ht="15">
      <c r="B3047" s="181">
        <v>26.59981773473389</v>
      </c>
    </row>
    <row r="3048" spans="2:2" ht="15">
      <c r="B3048" s="181">
        <v>21.075480043311384</v>
      </c>
    </row>
    <row r="3049" spans="2:2" ht="15">
      <c r="B3049" s="181">
        <v>19.009234593889175</v>
      </c>
    </row>
    <row r="3050" spans="2:2" ht="15">
      <c r="B3050" s="181">
        <v>23.706701472080113</v>
      </c>
    </row>
    <row r="3051" spans="2:2" ht="15">
      <c r="B3051" s="181">
        <v>13.285702195662441</v>
      </c>
    </row>
    <row r="3052" spans="2:2" ht="15">
      <c r="B3052" s="181">
        <v>5.7312053067996018</v>
      </c>
    </row>
    <row r="3053" spans="2:2" ht="15">
      <c r="B3053" s="181">
        <v>13.078217234312383</v>
      </c>
    </row>
    <row r="3054" spans="2:2" ht="15">
      <c r="B3054" s="181">
        <v>46.914656559871936</v>
      </c>
    </row>
    <row r="3055" spans="2:2" ht="15">
      <c r="B3055" s="181">
        <v>13.182299297805701</v>
      </c>
    </row>
    <row r="3056" spans="2:2" ht="15">
      <c r="B3056" s="181">
        <v>10.221460374218335</v>
      </c>
    </row>
    <row r="3057" spans="2:2" ht="15">
      <c r="B3057" s="181">
        <v>44.841949543893591</v>
      </c>
    </row>
    <row r="3058" spans="2:2" ht="15">
      <c r="B3058" s="181">
        <v>13.983337881475361</v>
      </c>
    </row>
    <row r="3059" spans="2:2" ht="15">
      <c r="B3059" s="181">
        <v>26.708677081775082</v>
      </c>
    </row>
    <row r="3060" spans="2:2" ht="15">
      <c r="B3060" s="181">
        <v>3.5799621705028</v>
      </c>
    </row>
    <row r="3061" spans="2:2" ht="15">
      <c r="B3061" s="181">
        <v>10.758696693860148</v>
      </c>
    </row>
    <row r="3062" spans="2:2" ht="15">
      <c r="B3062" s="181">
        <v>18.562756100275781</v>
      </c>
    </row>
    <row r="3063" spans="2:2" ht="15">
      <c r="B3063" s="181">
        <v>25.907341055184272</v>
      </c>
    </row>
    <row r="3064" spans="2:2" ht="15">
      <c r="B3064" s="181">
        <v>6.7118450216623264</v>
      </c>
    </row>
    <row r="3065" spans="2:2" ht="15">
      <c r="B3065" s="181">
        <v>18.303231742462966</v>
      </c>
    </row>
    <row r="3066" spans="2:2" ht="15">
      <c r="B3066" s="181">
        <v>25.986105300886756</v>
      </c>
    </row>
    <row r="3067" spans="2:2" ht="15">
      <c r="B3067" s="181">
        <v>11.453254392837026</v>
      </c>
    </row>
    <row r="3068" spans="2:2" ht="15">
      <c r="B3068" s="181">
        <v>17.024076666022037</v>
      </c>
    </row>
    <row r="3069" spans="2:2" ht="15">
      <c r="B3069" s="181">
        <v>19.51650304095655</v>
      </c>
    </row>
    <row r="3070" spans="2:2" ht="15">
      <c r="B3070" s="181">
        <v>23.553347671221282</v>
      </c>
    </row>
    <row r="3071" spans="2:2" ht="15">
      <c r="B3071" s="181">
        <v>13.656503529846981</v>
      </c>
    </row>
    <row r="3072" spans="2:2" ht="15">
      <c r="B3072" s="181">
        <v>25.630552766533512</v>
      </c>
    </row>
    <row r="3073" spans="2:2" ht="15">
      <c r="B3073" s="181">
        <v>21.322456581428629</v>
      </c>
    </row>
    <row r="3074" spans="2:2" ht="15">
      <c r="B3074" s="181">
        <v>23.051025285134259</v>
      </c>
    </row>
    <row r="3075" spans="2:2" ht="15">
      <c r="B3075" s="181">
        <v>29.019042525779373</v>
      </c>
    </row>
    <row r="3076" spans="2:2" ht="15">
      <c r="B3076" s="181">
        <v>9.4597411909906022</v>
      </c>
    </row>
    <row r="3077" spans="2:2" ht="15">
      <c r="B3077" s="181">
        <v>10.322502403742389</v>
      </c>
    </row>
    <row r="3078" spans="2:2" ht="15">
      <c r="B3078" s="181">
        <v>12.352034412501448</v>
      </c>
    </row>
    <row r="3079" spans="2:2" ht="15">
      <c r="B3079" s="181">
        <v>41.454878286044632</v>
      </c>
    </row>
    <row r="3080" spans="2:2" ht="15">
      <c r="B3080" s="181">
        <v>11.647099180161717</v>
      </c>
    </row>
    <row r="3081" spans="2:2" ht="15">
      <c r="B3081" s="181">
        <v>14.250734279158838</v>
      </c>
    </row>
    <row r="3082" spans="2:2" ht="15">
      <c r="B3082" s="181">
        <v>14.732513115945261</v>
      </c>
    </row>
    <row r="3083" spans="2:2" ht="15">
      <c r="B3083" s="181">
        <v>18.883506568173519</v>
      </c>
    </row>
    <row r="3084" spans="2:2" ht="15">
      <c r="B3084" s="181">
        <v>12.605122878346124</v>
      </c>
    </row>
    <row r="3085" spans="2:2" ht="15">
      <c r="B3085" s="181">
        <v>34.347257332940167</v>
      </c>
    </row>
    <row r="3086" spans="2:2" ht="15">
      <c r="B3086" s="181">
        <v>18.233529452801903</v>
      </c>
    </row>
    <row r="3087" spans="2:2" ht="15">
      <c r="B3087" s="181">
        <v>24.37569017582668</v>
      </c>
    </row>
    <row r="3088" spans="2:2" ht="15">
      <c r="B3088" s="181">
        <v>37.314318091104461</v>
      </c>
    </row>
    <row r="3089" spans="2:2" ht="15">
      <c r="B3089" s="181">
        <v>19.490012125154809</v>
      </c>
    </row>
    <row r="3090" spans="2:2" ht="15">
      <c r="B3090" s="181">
        <v>20.496979788503683</v>
      </c>
    </row>
    <row r="3091" spans="2:2" ht="15">
      <c r="B3091" s="181">
        <v>33.769057424687936</v>
      </c>
    </row>
    <row r="3092" spans="2:2" ht="15">
      <c r="B3092" s="181">
        <v>16.456917314499425</v>
      </c>
    </row>
    <row r="3093" spans="2:2" ht="15">
      <c r="B3093" s="181">
        <v>64.289617706929761</v>
      </c>
    </row>
    <row r="3094" spans="2:2" ht="15">
      <c r="B3094" s="181">
        <v>18.880582140987208</v>
      </c>
    </row>
    <row r="3095" spans="2:2" ht="15">
      <c r="B3095" s="181">
        <v>24.716089575447448</v>
      </c>
    </row>
    <row r="3096" spans="2:2" ht="15">
      <c r="B3096" s="181">
        <v>26.919106003946453</v>
      </c>
    </row>
    <row r="3097" spans="2:2" ht="15">
      <c r="B3097" s="181">
        <v>39.794693911602025</v>
      </c>
    </row>
    <row r="3098" spans="2:2" ht="15">
      <c r="B3098" s="181">
        <v>9.8476280028220078</v>
      </c>
    </row>
    <row r="3099" spans="2:2" ht="15">
      <c r="B3099" s="181">
        <v>29.334601105724484</v>
      </c>
    </row>
    <row r="3100" spans="2:2" ht="15">
      <c r="B3100" s="181">
        <v>15.285926574275942</v>
      </c>
    </row>
    <row r="3101" spans="2:2" ht="15">
      <c r="B3101" s="181">
        <v>11.771309647062802</v>
      </c>
    </row>
    <row r="3102" spans="2:2" ht="15">
      <c r="B3102" s="181">
        <v>18.488329165610942</v>
      </c>
    </row>
    <row r="3103" spans="2:2" ht="15">
      <c r="B3103" s="181">
        <v>9.3863870795007269</v>
      </c>
    </row>
    <row r="3104" spans="2:2" ht="15">
      <c r="B3104" s="181">
        <v>15.770551847651406</v>
      </c>
    </row>
    <row r="3105" spans="2:2" ht="15">
      <c r="B3105" s="181">
        <v>20.196087945512431</v>
      </c>
    </row>
    <row r="3106" spans="2:2" ht="15">
      <c r="B3106" s="181">
        <v>22.154773309564881</v>
      </c>
    </row>
    <row r="3107" spans="2:2" ht="15">
      <c r="B3107" s="181">
        <v>19.686208493883875</v>
      </c>
    </row>
    <row r="3108" spans="2:2" ht="15">
      <c r="B3108" s="181">
        <v>21.120485330007682</v>
      </c>
    </row>
    <row r="3109" spans="2:2" ht="15">
      <c r="B3109" s="181">
        <v>55.922339719773845</v>
      </c>
    </row>
    <row r="3110" spans="2:2" ht="15">
      <c r="B3110" s="181">
        <v>25.954978820924026</v>
      </c>
    </row>
    <row r="3111" spans="2:2" ht="15">
      <c r="B3111" s="181">
        <v>18.357270845133019</v>
      </c>
    </row>
    <row r="3112" spans="2:2" ht="15">
      <c r="B3112" s="181">
        <v>16.707965638396647</v>
      </c>
    </row>
    <row r="3113" spans="2:2" ht="15">
      <c r="B3113" s="181">
        <v>20.158562280571473</v>
      </c>
    </row>
    <row r="3114" spans="2:2" ht="15">
      <c r="B3114" s="181">
        <v>52.837403418921951</v>
      </c>
    </row>
    <row r="3115" spans="2:2" ht="15">
      <c r="B3115" s="181">
        <v>11.251868962699305</v>
      </c>
    </row>
    <row r="3116" spans="2:2" ht="15">
      <c r="B3116" s="181">
        <v>39.836842267276097</v>
      </c>
    </row>
    <row r="3117" spans="2:2" ht="15">
      <c r="B3117" s="181">
        <v>14.862174258544085</v>
      </c>
    </row>
    <row r="3118" spans="2:2" ht="15">
      <c r="B3118" s="181">
        <v>13.999549302178357</v>
      </c>
    </row>
    <row r="3119" spans="2:2" ht="15">
      <c r="B3119" s="181">
        <v>34.553153211113248</v>
      </c>
    </row>
    <row r="3120" spans="2:2" ht="15">
      <c r="B3120" s="181">
        <v>15.898598288173515</v>
      </c>
    </row>
    <row r="3121" spans="2:2" ht="15">
      <c r="B3121" s="181">
        <v>11.393597071208907</v>
      </c>
    </row>
    <row r="3122" spans="2:2" ht="15">
      <c r="B3122" s="181">
        <v>11.510886561805577</v>
      </c>
    </row>
    <row r="3123" spans="2:2" ht="15">
      <c r="B3123" s="181">
        <v>15.758109035006708</v>
      </c>
    </row>
    <row r="3124" spans="2:2" ht="15">
      <c r="B3124" s="181">
        <v>33.555337546415373</v>
      </c>
    </row>
    <row r="3125" spans="2:2" ht="15">
      <c r="B3125" s="181">
        <v>10.208967444224275</v>
      </c>
    </row>
    <row r="3126" spans="2:2" ht="15">
      <c r="B3126" s="181">
        <v>36.681238784365547</v>
      </c>
    </row>
    <row r="3127" spans="2:2" ht="15">
      <c r="B3127" s="181">
        <v>58.025425366761226</v>
      </c>
    </row>
    <row r="3128" spans="2:2" ht="15">
      <c r="B3128" s="181">
        <v>10.999767212654294</v>
      </c>
    </row>
    <row r="3129" spans="2:2" ht="15">
      <c r="B3129" s="181">
        <v>21.413935224555182</v>
      </c>
    </row>
    <row r="3130" spans="2:2" ht="15">
      <c r="B3130" s="181">
        <v>19.932001375001175</v>
      </c>
    </row>
    <row r="3131" spans="2:2" ht="15">
      <c r="B3131" s="181">
        <v>9.787404320829646</v>
      </c>
    </row>
    <row r="3132" spans="2:2" ht="15">
      <c r="B3132" s="181">
        <v>35.454081179274333</v>
      </c>
    </row>
    <row r="3133" spans="2:2" ht="15">
      <c r="B3133" s="181">
        <v>13.818184667684536</v>
      </c>
    </row>
    <row r="3134" spans="2:2" ht="15">
      <c r="B3134" s="181">
        <v>33.646912040688349</v>
      </c>
    </row>
    <row r="3135" spans="2:2" ht="15">
      <c r="B3135" s="181">
        <v>17.349575189319776</v>
      </c>
    </row>
    <row r="3136" spans="2:2" ht="15">
      <c r="B3136" s="181">
        <v>17.589426057268426</v>
      </c>
    </row>
    <row r="3137" spans="2:2" ht="15">
      <c r="B3137" s="181">
        <v>27.384887468326582</v>
      </c>
    </row>
    <row r="3138" spans="2:2" ht="15">
      <c r="B3138" s="181">
        <v>6.247903677565394</v>
      </c>
    </row>
    <row r="3139" spans="2:2" ht="15">
      <c r="B3139" s="181">
        <v>22.600779044558298</v>
      </c>
    </row>
    <row r="3140" spans="2:2" ht="15">
      <c r="B3140" s="181">
        <v>13.802399246171259</v>
      </c>
    </row>
    <row r="3141" spans="2:2" ht="15">
      <c r="B3141" s="181">
        <v>4.9220090187218259</v>
      </c>
    </row>
    <row r="3142" spans="2:2" ht="15">
      <c r="B3142" s="181">
        <v>27.723995721833152</v>
      </c>
    </row>
    <row r="3143" spans="2:2" ht="15">
      <c r="B3143" s="181">
        <v>11.312810955387475</v>
      </c>
    </row>
    <row r="3144" spans="2:2" ht="15">
      <c r="B3144" s="181">
        <v>18.114221247982311</v>
      </c>
    </row>
    <row r="3145" spans="2:2" ht="15">
      <c r="B3145" s="181">
        <v>22.961430689590379</v>
      </c>
    </row>
    <row r="3146" spans="2:2" ht="15">
      <c r="B3146" s="181">
        <v>17.154485029189836</v>
      </c>
    </row>
    <row r="3147" spans="2:2" ht="15">
      <c r="B3147" s="181">
        <v>17.761335468574519</v>
      </c>
    </row>
    <row r="3148" spans="2:2" ht="15">
      <c r="B3148" s="181">
        <v>60.993908740678528</v>
      </c>
    </row>
    <row r="3149" spans="2:2" ht="15">
      <c r="B3149" s="181">
        <v>16.515881499578793</v>
      </c>
    </row>
    <row r="3150" spans="2:2" ht="15">
      <c r="B3150" s="181">
        <v>46.653314305687772</v>
      </c>
    </row>
    <row r="3151" spans="2:2" ht="15">
      <c r="B3151" s="181">
        <v>10.426909458547307</v>
      </c>
    </row>
    <row r="3152" spans="2:2" ht="15">
      <c r="B3152" s="181">
        <v>14.863282939576349</v>
      </c>
    </row>
    <row r="3153" spans="2:2" ht="15">
      <c r="B3153" s="181">
        <v>9.272810007857311</v>
      </c>
    </row>
    <row r="3154" spans="2:2" ht="15">
      <c r="B3154" s="181">
        <v>29.22214829340324</v>
      </c>
    </row>
    <row r="3155" spans="2:2" ht="15">
      <c r="B3155" s="181">
        <v>13.688264904087351</v>
      </c>
    </row>
    <row r="3156" spans="2:2" ht="15">
      <c r="B3156" s="181">
        <v>12.52410836585568</v>
      </c>
    </row>
    <row r="3157" spans="2:2" ht="15">
      <c r="B3157" s="181">
        <v>40.092889314981647</v>
      </c>
    </row>
    <row r="3158" spans="2:2" ht="15">
      <c r="B3158" s="181">
        <v>14.031671682448639</v>
      </c>
    </row>
    <row r="3159" spans="2:2" ht="15">
      <c r="B3159" s="181">
        <v>42.07708355038686</v>
      </c>
    </row>
    <row r="3160" spans="2:2" ht="15">
      <c r="B3160" s="181">
        <v>13.048025286451708</v>
      </c>
    </row>
    <row r="3161" spans="2:2" ht="15">
      <c r="B3161" s="181">
        <v>15.262293993743249</v>
      </c>
    </row>
    <row r="3162" spans="2:2" ht="15">
      <c r="B3162" s="181">
        <v>37.444127209582511</v>
      </c>
    </row>
    <row r="3163" spans="2:2" ht="15">
      <c r="B3163" s="181">
        <v>13.292002241674483</v>
      </c>
    </row>
    <row r="3164" spans="2:2" ht="15">
      <c r="B3164" s="181">
        <v>14.561993577260322</v>
      </c>
    </row>
    <row r="3165" spans="2:2" ht="15">
      <c r="B3165" s="181">
        <v>23.072184751896632</v>
      </c>
    </row>
    <row r="3166" spans="2:2" ht="15">
      <c r="B3166" s="181">
        <v>22.794997371482804</v>
      </c>
    </row>
    <row r="3167" spans="2:2" ht="15">
      <c r="B3167" s="181">
        <v>37.70377530605942</v>
      </c>
    </row>
    <row r="3168" spans="2:2" ht="15">
      <c r="B3168" s="181">
        <v>17.675291612737627</v>
      </c>
    </row>
    <row r="3169" spans="2:2" ht="15">
      <c r="B3169" s="181">
        <v>16.181162704310928</v>
      </c>
    </row>
    <row r="3170" spans="2:2" ht="15">
      <c r="B3170" s="181">
        <v>23.279034829447095</v>
      </c>
    </row>
    <row r="3171" spans="2:2" ht="15">
      <c r="B3171" s="181">
        <v>10.713562389783494</v>
      </c>
    </row>
    <row r="3172" spans="2:2" ht="15">
      <c r="B3172" s="181">
        <v>50.942022973775153</v>
      </c>
    </row>
    <row r="3173" spans="2:2" ht="15">
      <c r="B3173" s="181">
        <v>26.555759790820485</v>
      </c>
    </row>
    <row r="3174" spans="2:2" ht="15">
      <c r="B3174" s="181">
        <v>8.6691287440674554</v>
      </c>
    </row>
    <row r="3175" spans="2:2" ht="15">
      <c r="B3175" s="181">
        <v>9.2278426455076179</v>
      </c>
    </row>
    <row r="3176" spans="2:2" ht="15">
      <c r="B3176" s="181">
        <v>17.222027401518027</v>
      </c>
    </row>
    <row r="3177" spans="2:2" ht="15">
      <c r="B3177" s="181">
        <v>41.690458546356325</v>
      </c>
    </row>
    <row r="3178" spans="2:2" ht="15">
      <c r="B3178" s="181">
        <v>18.789477453945675</v>
      </c>
    </row>
    <row r="3179" spans="2:2" ht="15">
      <c r="B3179" s="181">
        <v>28.033954247995549</v>
      </c>
    </row>
    <row r="3180" spans="2:2" ht="15">
      <c r="B3180" s="181">
        <v>28.67877077592134</v>
      </c>
    </row>
    <row r="3181" spans="2:2" ht="15">
      <c r="B3181" s="181">
        <v>30.324876164237544</v>
      </c>
    </row>
    <row r="3182" spans="2:2" ht="15">
      <c r="B3182" s="181">
        <v>65.738197261769997</v>
      </c>
    </row>
    <row r="3183" spans="2:2" ht="15">
      <c r="B3183" s="181">
        <v>10.379413022572628</v>
      </c>
    </row>
    <row r="3184" spans="2:2" ht="15">
      <c r="B3184" s="181">
        <v>12.740989741923499</v>
      </c>
    </row>
    <row r="3185" spans="2:2" ht="15">
      <c r="B3185" s="181">
        <v>8.3459901577626088</v>
      </c>
    </row>
    <row r="3186" spans="2:2" ht="15">
      <c r="B3186" s="181">
        <v>22.28530434479881</v>
      </c>
    </row>
    <row r="3187" spans="2:2" ht="15">
      <c r="B3187" s="181">
        <v>14.06064209821376</v>
      </c>
    </row>
    <row r="3188" spans="2:2" ht="15">
      <c r="B3188" s="181">
        <v>13.948672413396476</v>
      </c>
    </row>
    <row r="3189" spans="2:2" ht="15">
      <c r="B3189" s="181">
        <v>13.979230730087965</v>
      </c>
    </row>
    <row r="3190" spans="2:2" ht="15">
      <c r="B3190" s="181">
        <v>34.115946840938697</v>
      </c>
    </row>
    <row r="3191" spans="2:2" ht="15">
      <c r="B3191" s="181">
        <v>17.119073329339702</v>
      </c>
    </row>
    <row r="3192" spans="2:2" ht="15">
      <c r="B3192" s="181">
        <v>14.975405111054934</v>
      </c>
    </row>
    <row r="3193" spans="2:2" ht="15">
      <c r="B3193" s="181">
        <v>17.470822130935542</v>
      </c>
    </row>
    <row r="3194" spans="2:2" ht="15">
      <c r="B3194" s="181">
        <v>18.580870755340186</v>
      </c>
    </row>
    <row r="3195" spans="2:2" ht="15">
      <c r="B3195" s="181">
        <v>20.073057277632596</v>
      </c>
    </row>
    <row r="3196" spans="2:2" ht="15">
      <c r="B3196" s="181">
        <v>20.423526028377712</v>
      </c>
    </row>
    <row r="3197" spans="2:2" ht="15">
      <c r="B3197" s="181">
        <v>8.7230881281253332</v>
      </c>
    </row>
    <row r="3198" spans="2:2" ht="15">
      <c r="B3198" s="181">
        <v>13.973734862866188</v>
      </c>
    </row>
    <row r="3199" spans="2:2" ht="15">
      <c r="B3199" s="181">
        <v>17.977080299716295</v>
      </c>
    </row>
    <row r="3200" spans="2:2" ht="15">
      <c r="B3200" s="181">
        <v>7.7120981967479478</v>
      </c>
    </row>
    <row r="3201" spans="2:2" ht="15">
      <c r="B3201" s="181">
        <v>10.988577852775189</v>
      </c>
    </row>
    <row r="3202" spans="2:2" ht="15">
      <c r="B3202" s="181">
        <v>38.060389331094775</v>
      </c>
    </row>
    <row r="3203" spans="2:2" ht="15">
      <c r="B3203" s="181">
        <v>14.751282398801655</v>
      </c>
    </row>
    <row r="3204" spans="2:2" ht="15">
      <c r="B3204" s="181">
        <v>5.9845014315616005</v>
      </c>
    </row>
    <row r="3205" spans="2:2" ht="15">
      <c r="B3205" s="181">
        <v>16.172587961410674</v>
      </c>
    </row>
    <row r="3206" spans="2:2" ht="15">
      <c r="B3206" s="181">
        <v>30.492755754176248</v>
      </c>
    </row>
    <row r="3207" spans="2:2" ht="15">
      <c r="B3207" s="181">
        <v>9.8943961865007388</v>
      </c>
    </row>
    <row r="3208" spans="2:2" ht="15">
      <c r="B3208" s="181">
        <v>24.48622712043861</v>
      </c>
    </row>
    <row r="3209" spans="2:2" ht="15">
      <c r="B3209" s="181">
        <v>8.9997638617002789</v>
      </c>
    </row>
    <row r="3210" spans="2:2" ht="15">
      <c r="B3210" s="181">
        <v>11.430048578301253</v>
      </c>
    </row>
    <row r="3211" spans="2:2" ht="15">
      <c r="B3211" s="181">
        <v>7.9220491782420339</v>
      </c>
    </row>
    <row r="3212" spans="2:2" ht="15">
      <c r="B3212" s="181">
        <v>22.970534175934183</v>
      </c>
    </row>
    <row r="3213" spans="2:2" ht="15">
      <c r="B3213" s="181">
        <v>14.580336172839619</v>
      </c>
    </row>
    <row r="3214" spans="2:2" ht="15">
      <c r="B3214" s="181">
        <v>59.555225876801835</v>
      </c>
    </row>
    <row r="3215" spans="2:2" ht="15">
      <c r="B3215" s="181">
        <v>52.760205470373613</v>
      </c>
    </row>
    <row r="3216" spans="2:2" ht="15">
      <c r="B3216" s="181">
        <v>13.052614488136236</v>
      </c>
    </row>
    <row r="3217" spans="2:2" ht="15">
      <c r="B3217" s="181">
        <v>15.98294360468755</v>
      </c>
    </row>
    <row r="3218" spans="2:2" ht="15">
      <c r="B3218" s="181">
        <v>24.082342884932018</v>
      </c>
    </row>
    <row r="3219" spans="2:2" ht="15">
      <c r="B3219" s="181">
        <v>19.491274506905665</v>
      </c>
    </row>
    <row r="3220" spans="2:2" ht="15">
      <c r="B3220" s="181">
        <v>15.383570536585518</v>
      </c>
    </row>
    <row r="3221" spans="2:2" ht="15">
      <c r="B3221" s="181">
        <v>27.574705068808395</v>
      </c>
    </row>
    <row r="3222" spans="2:2" ht="15">
      <c r="B3222" s="181">
        <v>22.544747703194304</v>
      </c>
    </row>
    <row r="3223" spans="2:2" ht="15">
      <c r="B3223" s="181">
        <v>23.138999594007434</v>
      </c>
    </row>
    <row r="3224" spans="2:2" ht="15">
      <c r="B3224" s="181">
        <v>16.06990337774505</v>
      </c>
    </row>
    <row r="3225" spans="2:2" ht="15">
      <c r="B3225" s="181">
        <v>27.154703352962109</v>
      </c>
    </row>
    <row r="3226" spans="2:2" ht="15">
      <c r="B3226" s="181">
        <v>17.794155401121152</v>
      </c>
    </row>
    <row r="3227" spans="2:2" ht="15">
      <c r="B3227" s="181">
        <v>29.916085622886285</v>
      </c>
    </row>
    <row r="3228" spans="2:2" ht="15">
      <c r="B3228" s="181">
        <v>9.1968532348226812</v>
      </c>
    </row>
    <row r="3229" spans="2:2" ht="15">
      <c r="B3229" s="181">
        <v>5.4170000703824934</v>
      </c>
    </row>
    <row r="3230" spans="2:2" ht="15">
      <c r="B3230" s="181">
        <v>10.021788297498057</v>
      </c>
    </row>
    <row r="3231" spans="2:2" ht="15">
      <c r="B3231" s="181">
        <v>13.340391333321051</v>
      </c>
    </row>
    <row r="3232" spans="2:2" ht="15">
      <c r="B3232" s="181">
        <v>30.021699300044286</v>
      </c>
    </row>
    <row r="3233" spans="2:2" ht="15">
      <c r="B3233" s="181">
        <v>28.586841941772175</v>
      </c>
    </row>
    <row r="3234" spans="2:2" ht="15">
      <c r="B3234" s="181">
        <v>32.207776628597671</v>
      </c>
    </row>
    <row r="3235" spans="2:2" ht="15">
      <c r="B3235" s="181">
        <v>23.80707830104846</v>
      </c>
    </row>
    <row r="3236" spans="2:2" ht="15">
      <c r="B3236" s="181">
        <v>26.491696010010592</v>
      </c>
    </row>
    <row r="3237" spans="2:2" ht="15">
      <c r="B3237" s="181">
        <v>20.616401378543518</v>
      </c>
    </row>
    <row r="3238" spans="2:2" ht="15">
      <c r="B3238" s="181">
        <v>9.467864089700381</v>
      </c>
    </row>
    <row r="3239" spans="2:2" ht="15">
      <c r="B3239" s="181">
        <v>6.7195603748912607</v>
      </c>
    </row>
    <row r="3240" spans="2:2" ht="15">
      <c r="B3240" s="181">
        <v>7.5906216004990084</v>
      </c>
    </row>
    <row r="3241" spans="2:2" ht="15">
      <c r="B3241" s="181">
        <v>15.014270568759173</v>
      </c>
    </row>
    <row r="3242" spans="2:2" ht="15">
      <c r="B3242" s="181">
        <v>21.841909113424506</v>
      </c>
    </row>
    <row r="3243" spans="2:2" ht="15">
      <c r="B3243" s="181">
        <v>25.079977968129025</v>
      </c>
    </row>
    <row r="3244" spans="2:2" ht="15">
      <c r="B3244" s="181">
        <v>17.354657371995561</v>
      </c>
    </row>
    <row r="3245" spans="2:2" ht="15">
      <c r="B3245" s="181">
        <v>27.792758150341722</v>
      </c>
    </row>
    <row r="3246" spans="2:2" ht="15">
      <c r="B3246" s="181">
        <v>19.944139241099279</v>
      </c>
    </row>
    <row r="3247" spans="2:2" ht="15">
      <c r="B3247" s="181">
        <v>6.1067377196363379</v>
      </c>
    </row>
    <row r="3248" spans="2:2" ht="15">
      <c r="B3248" s="181">
        <v>22.042683912528609</v>
      </c>
    </row>
    <row r="3249" spans="2:2" ht="15">
      <c r="B3249" s="181">
        <v>26.455087367142145</v>
      </c>
    </row>
    <row r="3250" spans="2:2" ht="15">
      <c r="B3250" s="181">
        <v>33.054591316326352</v>
      </c>
    </row>
    <row r="3251" spans="2:2" ht="15">
      <c r="B3251" s="181">
        <v>23.077591394020903</v>
      </c>
    </row>
    <row r="3252" spans="2:2" ht="15">
      <c r="B3252" s="181">
        <v>25.130479676185828</v>
      </c>
    </row>
    <row r="3253" spans="2:2" ht="15">
      <c r="B3253" s="181">
        <v>10.102201079248587</v>
      </c>
    </row>
    <row r="3254" spans="2:2" ht="15">
      <c r="B3254" s="181">
        <v>12.400287985666544</v>
      </c>
    </row>
    <row r="3255" spans="2:2" ht="15">
      <c r="B3255" s="181">
        <v>7.656550846056362</v>
      </c>
    </row>
    <row r="3256" spans="2:2" ht="15">
      <c r="B3256" s="181">
        <v>8.6535915867219799</v>
      </c>
    </row>
    <row r="3257" spans="2:2" ht="15">
      <c r="B3257" s="181">
        <v>12.915840112950196</v>
      </c>
    </row>
    <row r="3258" spans="2:2" ht="15">
      <c r="B3258" s="181">
        <v>36.983976594298781</v>
      </c>
    </row>
    <row r="3259" spans="2:2" ht="15">
      <c r="B3259" s="181">
        <v>44.528003981172752</v>
      </c>
    </row>
    <row r="3260" spans="2:2" ht="15">
      <c r="B3260" s="181">
        <v>11.251726644288828</v>
      </c>
    </row>
    <row r="3261" spans="2:2" ht="15">
      <c r="B3261" s="181">
        <v>7.7115253184734023</v>
      </c>
    </row>
    <row r="3262" spans="2:2" ht="15">
      <c r="B3262" s="181">
        <v>18.826348000185554</v>
      </c>
    </row>
    <row r="3263" spans="2:2" ht="15">
      <c r="B3263" s="181">
        <v>11.570711335866092</v>
      </c>
    </row>
    <row r="3264" spans="2:2" ht="15">
      <c r="B3264" s="181">
        <v>19.148704610934409</v>
      </c>
    </row>
    <row r="3265" spans="2:2" ht="15">
      <c r="B3265" s="181">
        <v>9.0028976120123101</v>
      </c>
    </row>
    <row r="3266" spans="2:2" ht="15">
      <c r="B3266" s="181">
        <v>23.838964238894082</v>
      </c>
    </row>
    <row r="3267" spans="2:2" ht="15">
      <c r="B3267" s="181">
        <v>29.435205680151448</v>
      </c>
    </row>
    <row r="3268" spans="2:2" ht="15">
      <c r="B3268" s="181">
        <v>23.714719773538047</v>
      </c>
    </row>
    <row r="3269" spans="2:2" ht="15">
      <c r="B3269" s="181">
        <v>8.0439436975908656</v>
      </c>
    </row>
    <row r="3270" spans="2:2" ht="15">
      <c r="B3270" s="181">
        <v>35.98735733321621</v>
      </c>
    </row>
    <row r="3271" spans="2:2" ht="15">
      <c r="B3271" s="181">
        <v>22.038658232233505</v>
      </c>
    </row>
    <row r="3272" spans="2:2" ht="15">
      <c r="B3272" s="181">
        <v>6.38692984791152</v>
      </c>
    </row>
    <row r="3273" spans="2:2" ht="15">
      <c r="B3273" s="181">
        <v>12.767145777722725</v>
      </c>
    </row>
    <row r="3274" spans="2:2" ht="15">
      <c r="B3274" s="181">
        <v>12.501098203685318</v>
      </c>
    </row>
    <row r="3275" spans="2:2" ht="15">
      <c r="B3275" s="181">
        <v>38.15951256832215</v>
      </c>
    </row>
    <row r="3276" spans="2:2" ht="15">
      <c r="B3276" s="181">
        <v>9.7913013404885962</v>
      </c>
    </row>
    <row r="3277" spans="2:2" ht="15">
      <c r="B3277" s="181">
        <v>15.680345042761543</v>
      </c>
    </row>
    <row r="3278" spans="2:2" ht="15">
      <c r="B3278" s="181">
        <v>7.5135642300919967</v>
      </c>
    </row>
    <row r="3279" spans="2:2" ht="15">
      <c r="B3279" s="181">
        <v>24.58485611147697</v>
      </c>
    </row>
    <row r="3280" spans="2:2" ht="15">
      <c r="B3280" s="181">
        <v>16.867191675330439</v>
      </c>
    </row>
    <row r="3281" spans="2:2" ht="15">
      <c r="B3281" s="181">
        <v>5.6309431035122257</v>
      </c>
    </row>
    <row r="3282" spans="2:2" ht="15">
      <c r="B3282" s="181">
        <v>13.151883151236635</v>
      </c>
    </row>
    <row r="3283" spans="2:2" ht="15">
      <c r="B3283" s="181">
        <v>20.193499436826649</v>
      </c>
    </row>
    <row r="3284" spans="2:2" ht="15">
      <c r="B3284" s="181">
        <v>35.967185438755465</v>
      </c>
    </row>
    <row r="3285" spans="2:2" ht="15">
      <c r="B3285" s="181">
        <v>12.176808833500976</v>
      </c>
    </row>
    <row r="3286" spans="2:2" ht="15">
      <c r="B3286" s="181">
        <v>18.797992679286274</v>
      </c>
    </row>
    <row r="3287" spans="2:2" ht="15">
      <c r="B3287" s="181">
        <v>10.324498292052409</v>
      </c>
    </row>
    <row r="3288" spans="2:2" ht="15">
      <c r="B3288" s="181">
        <v>20.741924970874898</v>
      </c>
    </row>
    <row r="3289" spans="2:2" ht="15">
      <c r="B3289" s="181">
        <v>15.054569911069171</v>
      </c>
    </row>
    <row r="3290" spans="2:2" ht="15">
      <c r="B3290" s="181">
        <v>12.989670014170688</v>
      </c>
    </row>
    <row r="3291" spans="2:2" ht="15">
      <c r="B3291" s="181">
        <v>49.03648370661184</v>
      </c>
    </row>
    <row r="3292" spans="2:2" ht="15">
      <c r="B3292" s="181">
        <v>24.410931678135821</v>
      </c>
    </row>
    <row r="3293" spans="2:2" ht="15">
      <c r="B3293" s="181">
        <v>23.743100040815904</v>
      </c>
    </row>
    <row r="3294" spans="2:2" ht="15">
      <c r="B3294" s="181">
        <v>10.017931483286711</v>
      </c>
    </row>
    <row r="3295" spans="2:2" ht="15">
      <c r="B3295" s="181">
        <v>46.706336641778151</v>
      </c>
    </row>
    <row r="3296" spans="2:2" ht="15">
      <c r="B3296" s="181">
        <v>60.082021880170529</v>
      </c>
    </row>
    <row r="3297" spans="2:2" ht="15">
      <c r="B3297" s="181">
        <v>10.178657405452501</v>
      </c>
    </row>
    <row r="3298" spans="2:2" ht="15">
      <c r="B3298" s="181">
        <v>41.506450652841473</v>
      </c>
    </row>
    <row r="3299" spans="2:2" ht="15">
      <c r="B3299" s="181">
        <v>20.068338429801486</v>
      </c>
    </row>
    <row r="3300" spans="2:2" ht="15">
      <c r="B3300" s="181">
        <v>10.104195060292946</v>
      </c>
    </row>
    <row r="3301" spans="2:2" ht="15">
      <c r="B3301" s="181">
        <v>26.598910875173992</v>
      </c>
    </row>
    <row r="3302" spans="2:2" ht="15">
      <c r="B3302" s="181">
        <v>16.48301505491526</v>
      </c>
    </row>
    <row r="3303" spans="2:2" ht="15">
      <c r="B3303" s="181">
        <v>53.050623734751298</v>
      </c>
    </row>
    <row r="3304" spans="2:2" ht="15">
      <c r="B3304" s="181">
        <v>15.500013838033128</v>
      </c>
    </row>
    <row r="3305" spans="2:2" ht="15">
      <c r="B3305" s="181">
        <v>9.5197491283292202</v>
      </c>
    </row>
    <row r="3306" spans="2:2" ht="15">
      <c r="B3306" s="181">
        <v>23.13623421038157</v>
      </c>
    </row>
    <row r="3307" spans="2:2" ht="15">
      <c r="B3307" s="181">
        <v>21.693313387254463</v>
      </c>
    </row>
    <row r="3308" spans="2:2" ht="15">
      <c r="B3308" s="181">
        <v>30.608284436426004</v>
      </c>
    </row>
    <row r="3309" spans="2:2" ht="15">
      <c r="B3309" s="181">
        <v>31.3361510992418</v>
      </c>
    </row>
    <row r="3310" spans="2:2" ht="15">
      <c r="B3310" s="181">
        <v>11.467639317352294</v>
      </c>
    </row>
    <row r="3311" spans="2:2" ht="15">
      <c r="B3311" s="181">
        <v>32.781284938402436</v>
      </c>
    </row>
    <row r="3312" spans="2:2" ht="15">
      <c r="B3312" s="181">
        <v>9.1508137476909504</v>
      </c>
    </row>
    <row r="3313" spans="2:2" ht="15">
      <c r="B3313" s="181">
        <v>18.229690986114228</v>
      </c>
    </row>
    <row r="3314" spans="2:2" ht="15">
      <c r="B3314" s="181">
        <v>25.023754576800684</v>
      </c>
    </row>
    <row r="3315" spans="2:2" ht="15">
      <c r="B3315" s="181">
        <v>15.427802351781351</v>
      </c>
    </row>
    <row r="3316" spans="2:2" ht="15">
      <c r="B3316" s="181">
        <v>12.258389394515786</v>
      </c>
    </row>
    <row r="3317" spans="2:2" ht="15">
      <c r="B3317" s="181">
        <v>13.664118730945335</v>
      </c>
    </row>
    <row r="3318" spans="2:2" ht="15">
      <c r="B3318" s="181">
        <v>14.430127919557009</v>
      </c>
    </row>
    <row r="3319" spans="2:2" ht="15">
      <c r="B3319" s="181">
        <v>37.355481411391217</v>
      </c>
    </row>
    <row r="3320" spans="2:2" ht="15">
      <c r="B3320" s="181">
        <v>41.467351999781719</v>
      </c>
    </row>
    <row r="3321" spans="2:2" ht="15">
      <c r="B3321" s="181">
        <v>14.607494610328786</v>
      </c>
    </row>
    <row r="3322" spans="2:2" ht="15">
      <c r="B3322" s="181">
        <v>17.395227878565933</v>
      </c>
    </row>
    <row r="3323" spans="2:2" ht="15">
      <c r="B3323" s="181">
        <v>25.222442002419431</v>
      </c>
    </row>
    <row r="3324" spans="2:2" ht="15">
      <c r="B3324" s="181">
        <v>14.819873410003629</v>
      </c>
    </row>
    <row r="3325" spans="2:2" ht="15">
      <c r="B3325" s="181">
        <v>29.569279986977012</v>
      </c>
    </row>
    <row r="3326" spans="2:2" ht="15">
      <c r="B3326" s="181">
        <v>11.680779063668616</v>
      </c>
    </row>
    <row r="3327" spans="2:2" ht="15">
      <c r="B3327" s="181">
        <v>9.017291607658299</v>
      </c>
    </row>
    <row r="3328" spans="2:2" ht="15">
      <c r="B3328" s="181">
        <v>11.900338797257179</v>
      </c>
    </row>
    <row r="3329" spans="2:2" ht="15">
      <c r="B3329" s="181">
        <v>14.772515682824304</v>
      </c>
    </row>
    <row r="3330" spans="2:2" ht="15">
      <c r="B3330" s="181">
        <v>9.9569547658375281</v>
      </c>
    </row>
    <row r="3331" spans="2:2" ht="15">
      <c r="B3331" s="181">
        <v>7.2391250977701409</v>
      </c>
    </row>
    <row r="3332" spans="2:2" ht="15">
      <c r="B3332" s="181">
        <v>13.612194773267126</v>
      </c>
    </row>
    <row r="3333" spans="2:2" ht="15">
      <c r="B3333" s="181">
        <v>14.732811933293144</v>
      </c>
    </row>
    <row r="3334" spans="2:2" ht="15">
      <c r="B3334" s="181">
        <v>27.562713649278944</v>
      </c>
    </row>
    <row r="3335" spans="2:2" ht="15">
      <c r="B3335" s="181">
        <v>20.000087563043856</v>
      </c>
    </row>
    <row r="3336" spans="2:2" ht="15">
      <c r="B3336" s="181">
        <v>19.452724271890027</v>
      </c>
    </row>
    <row r="3337" spans="2:2" ht="15">
      <c r="B3337" s="181">
        <v>35.62530090932534</v>
      </c>
    </row>
    <row r="3338" spans="2:2" ht="15">
      <c r="B3338" s="181">
        <v>14.892647117854359</v>
      </c>
    </row>
    <row r="3339" spans="2:2" ht="15">
      <c r="B3339" s="181">
        <v>27.13910866937346</v>
      </c>
    </row>
    <row r="3340" spans="2:2" ht="15">
      <c r="B3340" s="181">
        <v>23.888087370856429</v>
      </c>
    </row>
    <row r="3341" spans="2:2" ht="15">
      <c r="B3341" s="181">
        <v>12.685836867354277</v>
      </c>
    </row>
    <row r="3342" spans="2:2" ht="15">
      <c r="B3342" s="181">
        <v>17.052171723427019</v>
      </c>
    </row>
    <row r="3343" spans="2:2" ht="15">
      <c r="B3343" s="181">
        <v>22.045117885245752</v>
      </c>
    </row>
    <row r="3344" spans="2:2" ht="15">
      <c r="B3344" s="181">
        <v>36.124020720896716</v>
      </c>
    </row>
    <row r="3345" spans="2:2" ht="15">
      <c r="B3345" s="181">
        <v>14.398103262862879</v>
      </c>
    </row>
    <row r="3346" spans="2:2" ht="15">
      <c r="B3346" s="181">
        <v>19.190964166052137</v>
      </c>
    </row>
    <row r="3347" spans="2:2" ht="15">
      <c r="B3347" s="181">
        <v>6.9645296264491066</v>
      </c>
    </row>
    <row r="3348" spans="2:2" ht="15">
      <c r="B3348" s="181">
        <v>12.890527976755934</v>
      </c>
    </row>
    <row r="3349" spans="2:2" ht="15">
      <c r="B3349" s="181">
        <v>18.027776952744951</v>
      </c>
    </row>
    <row r="3350" spans="2:2" ht="15">
      <c r="B3350" s="181">
        <v>76.526576900504352</v>
      </c>
    </row>
    <row r="3351" spans="2:2" ht="15">
      <c r="B3351" s="181">
        <v>9.0353588481521872</v>
      </c>
    </row>
    <row r="3352" spans="2:2" ht="15">
      <c r="B3352" s="181">
        <v>4.7456808703318547</v>
      </c>
    </row>
    <row r="3353" spans="2:2" ht="15">
      <c r="B3353" s="181">
        <v>8.9669574334122082</v>
      </c>
    </row>
    <row r="3354" spans="2:2" ht="15">
      <c r="B3354" s="181">
        <v>27.777823064998685</v>
      </c>
    </row>
    <row r="3355" spans="2:2" ht="15">
      <c r="B3355" s="181">
        <v>16.170964288512579</v>
      </c>
    </row>
    <row r="3356" spans="2:2" ht="15">
      <c r="B3356" s="181">
        <v>25.578031626678392</v>
      </c>
    </row>
    <row r="3357" spans="2:2" ht="15">
      <c r="B3357" s="181">
        <v>9.0988165779346986</v>
      </c>
    </row>
    <row r="3358" spans="2:2" ht="15">
      <c r="B3358" s="181">
        <v>11.625907851357264</v>
      </c>
    </row>
    <row r="3359" spans="2:2" ht="15">
      <c r="B3359" s="181">
        <v>9.6047393055600327</v>
      </c>
    </row>
    <row r="3360" spans="2:2" ht="15">
      <c r="B3360" s="181">
        <v>4.0083684330759679</v>
      </c>
    </row>
    <row r="3361" spans="2:2" ht="15">
      <c r="B3361" s="181">
        <v>19.197113389439913</v>
      </c>
    </row>
    <row r="3362" spans="2:2" ht="15">
      <c r="B3362" s="181">
        <v>23.841746775815896</v>
      </c>
    </row>
    <row r="3363" spans="2:2" ht="15">
      <c r="B3363" s="181">
        <v>11.143926635626537</v>
      </c>
    </row>
    <row r="3364" spans="2:2" ht="15">
      <c r="B3364" s="181">
        <v>24.335241540209491</v>
      </c>
    </row>
    <row r="3365" spans="2:2" ht="15">
      <c r="B3365" s="181">
        <v>16.303753703710367</v>
      </c>
    </row>
    <row r="3366" spans="2:2" ht="15">
      <c r="B3366" s="181">
        <v>23.567128409792478</v>
      </c>
    </row>
    <row r="3367" spans="2:2" ht="15">
      <c r="B3367" s="181">
        <v>17.619578504830834</v>
      </c>
    </row>
    <row r="3368" spans="2:2" ht="15">
      <c r="B3368" s="181">
        <v>3.7069979513286873</v>
      </c>
    </row>
    <row r="3369" spans="2:2" ht="15">
      <c r="B3369" s="181">
        <v>10.640311271840703</v>
      </c>
    </row>
    <row r="3370" spans="2:2" ht="15">
      <c r="B3370" s="181">
        <v>35.839647002251589</v>
      </c>
    </row>
    <row r="3371" spans="2:2" ht="15">
      <c r="B3371" s="181">
        <v>16.719177707387971</v>
      </c>
    </row>
    <row r="3372" spans="2:2" ht="15">
      <c r="B3372" s="181">
        <v>33.198195613185888</v>
      </c>
    </row>
    <row r="3373" spans="2:2" ht="15">
      <c r="B3373" s="181">
        <v>28.701630876638454</v>
      </c>
    </row>
    <row r="3374" spans="2:2" ht="15">
      <c r="B3374" s="181">
        <v>32.165180496822444</v>
      </c>
    </row>
    <row r="3375" spans="2:2" ht="15">
      <c r="B3375" s="181">
        <v>22.835442707062263</v>
      </c>
    </row>
    <row r="3376" spans="2:2" ht="15">
      <c r="B3376" s="181">
        <v>19.09048472417615</v>
      </c>
    </row>
    <row r="3377" spans="2:2" ht="15">
      <c r="B3377" s="181">
        <v>8.0312279544007765</v>
      </c>
    </row>
    <row r="3378" spans="2:2" ht="15">
      <c r="B3378" s="181">
        <v>31.365046685545277</v>
      </c>
    </row>
    <row r="3379" spans="2:2" ht="15">
      <c r="B3379" s="181">
        <v>13.241231021473419</v>
      </c>
    </row>
    <row r="3380" spans="2:2" ht="15">
      <c r="B3380" s="181">
        <v>14.290219854004567</v>
      </c>
    </row>
    <row r="3381" spans="2:2" ht="15">
      <c r="B3381" s="181">
        <v>8.5752903713911426</v>
      </c>
    </row>
    <row r="3382" spans="2:2" ht="15">
      <c r="B3382" s="181">
        <v>13.695315823063629</v>
      </c>
    </row>
    <row r="3383" spans="2:2" ht="15">
      <c r="B3383" s="181">
        <v>19.787304564261262</v>
      </c>
    </row>
    <row r="3384" spans="2:2" ht="15">
      <c r="B3384" s="181">
        <v>17.136676436745937</v>
      </c>
    </row>
    <row r="3385" spans="2:2" ht="15">
      <c r="B3385" s="181">
        <v>21.693349986535868</v>
      </c>
    </row>
    <row r="3386" spans="2:2" ht="15">
      <c r="B3386" s="181">
        <v>20.764407034571253</v>
      </c>
    </row>
    <row r="3387" spans="2:2" ht="15">
      <c r="B3387" s="181">
        <v>21.583303813078242</v>
      </c>
    </row>
    <row r="3388" spans="2:2" ht="15">
      <c r="B3388" s="181">
        <v>14.93259593631768</v>
      </c>
    </row>
    <row r="3389" spans="2:2" ht="15">
      <c r="B3389" s="181">
        <v>34.931394683123933</v>
      </c>
    </row>
    <row r="3390" spans="2:2" ht="15">
      <c r="B3390" s="181">
        <v>26.078243416804067</v>
      </c>
    </row>
    <row r="3391" spans="2:2" ht="15">
      <c r="B3391" s="181">
        <v>41.690753720169461</v>
      </c>
    </row>
    <row r="3392" spans="2:2" ht="15">
      <c r="B3392" s="181">
        <v>13.206947555071832</v>
      </c>
    </row>
    <row r="3393" spans="2:2" ht="15">
      <c r="B3393" s="181">
        <v>12.287580746883672</v>
      </c>
    </row>
    <row r="3394" spans="2:2" ht="15">
      <c r="B3394" s="181">
        <v>19.862058739468946</v>
      </c>
    </row>
    <row r="3395" spans="2:2" ht="15">
      <c r="B3395" s="181">
        <v>46.640400197457446</v>
      </c>
    </row>
    <row r="3396" spans="2:2" ht="15">
      <c r="B3396" s="181">
        <v>12.989933550904516</v>
      </c>
    </row>
    <row r="3397" spans="2:2" ht="15">
      <c r="B3397" s="181">
        <v>20.894503395777157</v>
      </c>
    </row>
    <row r="3398" spans="2:2" ht="15">
      <c r="B3398" s="181">
        <v>39.444628786036432</v>
      </c>
    </row>
    <row r="3399" spans="2:2" ht="15">
      <c r="B3399" s="181">
        <v>28.980654833164447</v>
      </c>
    </row>
    <row r="3400" spans="2:2" ht="15">
      <c r="B3400" s="181">
        <v>13.200758113000683</v>
      </c>
    </row>
    <row r="3401" spans="2:2" ht="15">
      <c r="B3401" s="181">
        <v>29.416341791757109</v>
      </c>
    </row>
    <row r="3402" spans="2:2" ht="15">
      <c r="B3402" s="181">
        <v>10.748658053150152</v>
      </c>
    </row>
    <row r="3403" spans="2:2" ht="15">
      <c r="B3403" s="181">
        <v>13.61770742296226</v>
      </c>
    </row>
    <row r="3404" spans="2:2" ht="15">
      <c r="B3404" s="181">
        <v>25.738664279802592</v>
      </c>
    </row>
    <row r="3405" spans="2:2" ht="15">
      <c r="B3405" s="181">
        <v>10.230686830320368</v>
      </c>
    </row>
    <row r="3406" spans="2:2" ht="15">
      <c r="B3406" s="181">
        <v>26.29926264197486</v>
      </c>
    </row>
    <row r="3407" spans="2:2" ht="15">
      <c r="B3407" s="181">
        <v>15.857767166942571</v>
      </c>
    </row>
    <row r="3408" spans="2:2" ht="15">
      <c r="B3408" s="181">
        <v>14.621587785358635</v>
      </c>
    </row>
    <row r="3409" spans="2:2" ht="15">
      <c r="B3409" s="181">
        <v>26.869373713677511</v>
      </c>
    </row>
    <row r="3410" spans="2:2" ht="15">
      <c r="B3410" s="181">
        <v>28.903874314455539</v>
      </c>
    </row>
    <row r="3411" spans="2:2" ht="15">
      <c r="B3411" s="181">
        <v>35.06560277787738</v>
      </c>
    </row>
    <row r="3412" spans="2:2" ht="15">
      <c r="B3412" s="181">
        <v>24.791037535808538</v>
      </c>
    </row>
    <row r="3413" spans="2:2" ht="15">
      <c r="B3413" s="181">
        <v>36.982720479250432</v>
      </c>
    </row>
    <row r="3414" spans="2:2" ht="15">
      <c r="B3414" s="181">
        <v>27.927455799321155</v>
      </c>
    </row>
    <row r="3415" spans="2:2" ht="15">
      <c r="B3415" s="181">
        <v>30.082352150417414</v>
      </c>
    </row>
    <row r="3416" spans="2:2" ht="15">
      <c r="B3416" s="181">
        <v>16.931071748573075</v>
      </c>
    </row>
    <row r="3417" spans="2:2" ht="15">
      <c r="B3417" s="181">
        <v>31.417296615328041</v>
      </c>
    </row>
    <row r="3418" spans="2:2" ht="15">
      <c r="B3418" s="181">
        <v>13.425057612932296</v>
      </c>
    </row>
    <row r="3419" spans="2:2" ht="15">
      <c r="B3419" s="181">
        <v>17.386240945712263</v>
      </c>
    </row>
    <row r="3420" spans="2:2" ht="15">
      <c r="B3420" s="181">
        <v>15.946397865944594</v>
      </c>
    </row>
    <row r="3421" spans="2:2" ht="15">
      <c r="B3421" s="181">
        <v>17.319476269585834</v>
      </c>
    </row>
    <row r="3422" spans="2:2" ht="15">
      <c r="B3422" s="181">
        <v>14.520728154467703</v>
      </c>
    </row>
    <row r="3423" spans="2:2" ht="15">
      <c r="B3423" s="181">
        <v>15.104531853487266</v>
      </c>
    </row>
    <row r="3424" spans="2:2" ht="15">
      <c r="B3424" s="181">
        <v>14.243867728555413</v>
      </c>
    </row>
    <row r="3425" spans="2:2" ht="15">
      <c r="B3425" s="181">
        <v>42.438597698700292</v>
      </c>
    </row>
    <row r="3426" spans="2:2" ht="15">
      <c r="B3426" s="181">
        <v>15.043839756561429</v>
      </c>
    </row>
    <row r="3427" spans="2:2" ht="15">
      <c r="B3427" s="181">
        <v>9.0530206652874821</v>
      </c>
    </row>
    <row r="3428" spans="2:2" ht="15">
      <c r="B3428" s="181">
        <v>23.638264296386108</v>
      </c>
    </row>
    <row r="3429" spans="2:2" ht="15">
      <c r="B3429" s="181">
        <v>35.55311828159855</v>
      </c>
    </row>
    <row r="3430" spans="2:2" ht="15">
      <c r="B3430" s="181">
        <v>13.036340071795269</v>
      </c>
    </row>
    <row r="3431" spans="2:2" ht="15">
      <c r="B3431" s="181">
        <v>11.736776545568286</v>
      </c>
    </row>
    <row r="3432" spans="2:2" ht="15">
      <c r="B3432" s="181">
        <v>14.830684362497321</v>
      </c>
    </row>
    <row r="3433" spans="2:2" ht="15">
      <c r="B3433" s="181">
        <v>32.252434236473384</v>
      </c>
    </row>
    <row r="3434" spans="2:2" ht="15">
      <c r="B3434" s="181">
        <v>21.420970872427546</v>
      </c>
    </row>
    <row r="3435" spans="2:2" ht="15">
      <c r="B3435" s="181">
        <v>12.354709554459154</v>
      </c>
    </row>
    <row r="3436" spans="2:2" ht="15">
      <c r="B3436" s="181">
        <v>11.242836268370057</v>
      </c>
    </row>
    <row r="3437" spans="2:2" ht="15">
      <c r="B3437" s="181">
        <v>22.485790054211236</v>
      </c>
    </row>
    <row r="3438" spans="2:2" ht="15">
      <c r="B3438" s="181">
        <v>10.567612430698887</v>
      </c>
    </row>
    <row r="3439" spans="2:2" ht="15">
      <c r="B3439" s="181">
        <v>27.771524733561325</v>
      </c>
    </row>
    <row r="3440" spans="2:2" ht="15">
      <c r="B3440" s="181">
        <v>22.668286316912102</v>
      </c>
    </row>
    <row r="3441" spans="2:2" ht="15">
      <c r="B3441" s="181">
        <v>20.124697235612093</v>
      </c>
    </row>
    <row r="3442" spans="2:2" ht="15">
      <c r="B3442" s="181">
        <v>23.185317830041555</v>
      </c>
    </row>
    <row r="3443" spans="2:2" ht="15">
      <c r="B3443" s="181">
        <v>15.508652529603919</v>
      </c>
    </row>
    <row r="3444" spans="2:2" ht="15">
      <c r="B3444" s="181">
        <v>18.379029952301021</v>
      </c>
    </row>
    <row r="3445" spans="2:2" ht="15">
      <c r="B3445" s="181">
        <v>9.9618364540238353</v>
      </c>
    </row>
    <row r="3446" spans="2:2" ht="15">
      <c r="B3446" s="181">
        <v>10.353877461054321</v>
      </c>
    </row>
    <row r="3447" spans="2:2" ht="15">
      <c r="B3447" s="181">
        <v>34.059215800896148</v>
      </c>
    </row>
    <row r="3448" spans="2:2" ht="15">
      <c r="B3448" s="181">
        <v>17.335015592810851</v>
      </c>
    </row>
    <row r="3449" spans="2:2" ht="15">
      <c r="B3449" s="181">
        <v>6.8742317316784458</v>
      </c>
    </row>
    <row r="3450" spans="2:2" ht="15">
      <c r="B3450" s="181">
        <v>35.826813611453019</v>
      </c>
    </row>
    <row r="3451" spans="2:2" ht="15">
      <c r="B3451" s="181">
        <v>25.193713668883888</v>
      </c>
    </row>
    <row r="3452" spans="2:2" ht="15">
      <c r="B3452" s="181">
        <v>22.443092967853179</v>
      </c>
    </row>
    <row r="3453" spans="2:2" ht="15">
      <c r="B3453" s="181">
        <v>34.718875705401857</v>
      </c>
    </row>
    <row r="3454" spans="2:2" ht="15">
      <c r="B3454" s="181">
        <v>12.799275205466024</v>
      </c>
    </row>
    <row r="3455" spans="2:2" ht="15">
      <c r="B3455" s="181">
        <v>15.025368036670946</v>
      </c>
    </row>
    <row r="3456" spans="2:2" ht="15">
      <c r="B3456" s="181">
        <v>22.988947094035552</v>
      </c>
    </row>
    <row r="3457" spans="2:2" ht="15">
      <c r="B3457" s="181">
        <v>33.78659958895976</v>
      </c>
    </row>
    <row r="3458" spans="2:2" ht="15">
      <c r="B3458" s="181">
        <v>20.911360458775476</v>
      </c>
    </row>
    <row r="3459" spans="2:2" ht="15">
      <c r="B3459" s="181">
        <v>29.685556602614341</v>
      </c>
    </row>
    <row r="3460" spans="2:2" ht="15">
      <c r="B3460" s="181">
        <v>14.051461032357357</v>
      </c>
    </row>
    <row r="3461" spans="2:2" ht="15">
      <c r="B3461" s="181">
        <v>12.287612069464616</v>
      </c>
    </row>
    <row r="3462" spans="2:2" ht="15">
      <c r="B3462" s="181">
        <v>10.647989078174374</v>
      </c>
    </row>
    <row r="3463" spans="2:2" ht="15">
      <c r="B3463" s="181">
        <v>20.355536521286112</v>
      </c>
    </row>
    <row r="3464" spans="2:2" ht="15">
      <c r="B3464" s="181">
        <v>18.839990533520638</v>
      </c>
    </row>
    <row r="3465" spans="2:2" ht="15">
      <c r="B3465" s="181">
        <v>26.047827172419751</v>
      </c>
    </row>
    <row r="3466" spans="2:2" ht="15">
      <c r="B3466" s="181">
        <v>28.014575808438309</v>
      </c>
    </row>
    <row r="3467" spans="2:2" ht="15">
      <c r="B3467" s="181">
        <v>23.546319686724797</v>
      </c>
    </row>
    <row r="3468" spans="2:2" ht="15">
      <c r="B3468" s="181">
        <v>14.193857712734452</v>
      </c>
    </row>
    <row r="3469" spans="2:2" ht="15">
      <c r="B3469" s="181">
        <v>34.835447994511789</v>
      </c>
    </row>
    <row r="3470" spans="2:2" ht="15">
      <c r="B3470" s="181">
        <v>18.628786662187707</v>
      </c>
    </row>
    <row r="3471" spans="2:2" ht="15">
      <c r="B3471" s="181">
        <v>20.36148617203969</v>
      </c>
    </row>
    <row r="3472" spans="2:2" ht="15">
      <c r="B3472" s="181">
        <v>6.8882240136400021</v>
      </c>
    </row>
    <row r="3473" spans="2:2" ht="15">
      <c r="B3473" s="181">
        <v>4.3814956059478183</v>
      </c>
    </row>
    <row r="3474" spans="2:2" ht="15">
      <c r="B3474" s="181">
        <v>14.190692881606052</v>
      </c>
    </row>
    <row r="3475" spans="2:2" ht="15">
      <c r="B3475" s="181">
        <v>9.3600608839426531</v>
      </c>
    </row>
    <row r="3476" spans="2:2" ht="15">
      <c r="B3476" s="181">
        <v>12.933229606462833</v>
      </c>
    </row>
    <row r="3477" spans="2:2" ht="15">
      <c r="B3477" s="181">
        <v>22.207175561276294</v>
      </c>
    </row>
    <row r="3478" spans="2:2" ht="15">
      <c r="B3478" s="181">
        <v>42.307566466722037</v>
      </c>
    </row>
    <row r="3479" spans="2:2" ht="15">
      <c r="B3479" s="181">
        <v>9.9008503385696791</v>
      </c>
    </row>
    <row r="3480" spans="2:2" ht="15">
      <c r="B3480" s="181">
        <v>14.367485217010547</v>
      </c>
    </row>
    <row r="3481" spans="2:2" ht="15">
      <c r="B3481" s="181">
        <v>20.604449287064252</v>
      </c>
    </row>
    <row r="3482" spans="2:2" ht="15">
      <c r="B3482" s="181">
        <v>9.3324083438217151</v>
      </c>
    </row>
    <row r="3483" spans="2:2" ht="15">
      <c r="B3483" s="181">
        <v>19.48696840732217</v>
      </c>
    </row>
    <row r="3484" spans="2:2" ht="15">
      <c r="B3484" s="181">
        <v>24.920572656326261</v>
      </c>
    </row>
    <row r="3485" spans="2:2" ht="15">
      <c r="B3485" s="181">
        <v>16.143380795033156</v>
      </c>
    </row>
    <row r="3486" spans="2:2" ht="15">
      <c r="B3486" s="181">
        <v>40.912255145536498</v>
      </c>
    </row>
    <row r="3487" spans="2:2" ht="15">
      <c r="B3487" s="181">
        <v>6.9084384126133607</v>
      </c>
    </row>
    <row r="3488" spans="2:2" ht="15">
      <c r="B3488" s="181">
        <v>15.018657846861521</v>
      </c>
    </row>
    <row r="3489" spans="2:2" ht="15">
      <c r="B3489" s="181">
        <v>14.637421256114864</v>
      </c>
    </row>
    <row r="3490" spans="2:2" ht="15">
      <c r="B3490" s="181">
        <v>38.405869771248533</v>
      </c>
    </row>
    <row r="3491" spans="2:2" ht="15">
      <c r="B3491" s="181">
        <v>30.939055368464899</v>
      </c>
    </row>
    <row r="3492" spans="2:2" ht="15">
      <c r="B3492" s="181">
        <v>21.4926914572623</v>
      </c>
    </row>
    <row r="3493" spans="2:2" ht="15">
      <c r="B3493" s="181">
        <v>16.980262789137839</v>
      </c>
    </row>
    <row r="3494" spans="2:2" ht="15">
      <c r="B3494" s="181">
        <v>23.516008435920931</v>
      </c>
    </row>
    <row r="3495" spans="2:2" ht="15">
      <c r="B3495" s="181">
        <v>28.174739998881655</v>
      </c>
    </row>
    <row r="3496" spans="2:2" ht="15">
      <c r="B3496" s="181">
        <v>25.588158319574703</v>
      </c>
    </row>
    <row r="3497" spans="2:2" ht="15">
      <c r="B3497" s="181">
        <v>17.655237163411705</v>
      </c>
    </row>
    <row r="3498" spans="2:2" ht="15">
      <c r="B3498" s="181">
        <v>8.6388090532285595</v>
      </c>
    </row>
    <row r="3499" spans="2:2" ht="15">
      <c r="B3499" s="181">
        <v>15.624436924070306</v>
      </c>
    </row>
    <row r="3500" spans="2:2" ht="15">
      <c r="B3500" s="181">
        <v>7.3729412254836717</v>
      </c>
    </row>
    <row r="3501" spans="2:2" ht="15">
      <c r="B3501" s="181">
        <v>18.818117624208597</v>
      </c>
    </row>
    <row r="3502" spans="2:2" ht="15">
      <c r="B3502" s="181">
        <v>25.290574172709597</v>
      </c>
    </row>
    <row r="3503" spans="2:2" ht="15">
      <c r="B3503" s="181">
        <v>17.16832041909182</v>
      </c>
    </row>
    <row r="3504" spans="2:2" ht="15">
      <c r="B3504" s="181">
        <v>13.836205867242738</v>
      </c>
    </row>
    <row r="3505" spans="2:2" ht="15">
      <c r="B3505" s="181">
        <v>18.235962135839262</v>
      </c>
    </row>
    <row r="3506" spans="2:2" ht="15">
      <c r="B3506" s="181">
        <v>54.240491104274682</v>
      </c>
    </row>
    <row r="3507" spans="2:2" ht="15">
      <c r="B3507" s="181">
        <v>38.396492642519377</v>
      </c>
    </row>
    <row r="3508" spans="2:2" ht="15">
      <c r="B3508" s="181">
        <v>14.05973807985127</v>
      </c>
    </row>
    <row r="3509" spans="2:2" ht="15">
      <c r="B3509" s="181">
        <v>21.004236413407284</v>
      </c>
    </row>
    <row r="3510" spans="2:2" ht="15">
      <c r="B3510" s="181">
        <v>10.042246223160957</v>
      </c>
    </row>
    <row r="3511" spans="2:2" ht="15">
      <c r="B3511" s="181">
        <v>24.479792495658344</v>
      </c>
    </row>
    <row r="3512" spans="2:2" ht="15">
      <c r="B3512" s="181">
        <v>29.0355974720018</v>
      </c>
    </row>
    <row r="3513" spans="2:2" ht="15">
      <c r="B3513" s="181">
        <v>9.1394829974441549</v>
      </c>
    </row>
    <row r="3514" spans="2:2" ht="15">
      <c r="B3514" s="181">
        <v>17.972771529595185</v>
      </c>
    </row>
    <row r="3515" spans="2:2" ht="15">
      <c r="B3515" s="181">
        <v>12.998071615291726</v>
      </c>
    </row>
    <row r="3516" spans="2:2" ht="15">
      <c r="B3516" s="181">
        <v>23.916880935556673</v>
      </c>
    </row>
    <row r="3517" spans="2:2" ht="15">
      <c r="B3517" s="181">
        <v>24.24129582716197</v>
      </c>
    </row>
    <row r="3518" spans="2:2" ht="15">
      <c r="B3518" s="181">
        <v>24.453537441466477</v>
      </c>
    </row>
    <row r="3519" spans="2:2" ht="15">
      <c r="B3519" s="181">
        <v>24.417533699749836</v>
      </c>
    </row>
    <row r="3520" spans="2:2" ht="15">
      <c r="B3520" s="181">
        <v>19.817118006630373</v>
      </c>
    </row>
    <row r="3521" spans="2:2" ht="15">
      <c r="B3521" s="181">
        <v>37.45480506723711</v>
      </c>
    </row>
    <row r="3522" spans="2:2" ht="15">
      <c r="B3522" s="181">
        <v>17.639458055026374</v>
      </c>
    </row>
    <row r="3523" spans="2:2" ht="15">
      <c r="B3523" s="181">
        <v>32.53183603340895</v>
      </c>
    </row>
    <row r="3524" spans="2:2" ht="15">
      <c r="B3524" s="181">
        <v>11.85469292809792</v>
      </c>
    </row>
    <row r="3525" spans="2:2" ht="15">
      <c r="B3525" s="181">
        <v>12.411401405735333</v>
      </c>
    </row>
    <row r="3526" spans="2:2" ht="15">
      <c r="B3526" s="181">
        <v>25.10113675577912</v>
      </c>
    </row>
    <row r="3527" spans="2:2" ht="15">
      <c r="B3527" s="181">
        <v>22.818641510405982</v>
      </c>
    </row>
    <row r="3528" spans="2:2" ht="15">
      <c r="B3528" s="181">
        <v>7.3158946039532466</v>
      </c>
    </row>
    <row r="3529" spans="2:2" ht="15">
      <c r="B3529" s="181">
        <v>20.792161624175304</v>
      </c>
    </row>
    <row r="3530" spans="2:2" ht="15">
      <c r="B3530" s="181">
        <v>23.142154779080517</v>
      </c>
    </row>
    <row r="3531" spans="2:2" ht="15">
      <c r="B3531" s="181">
        <v>6.2864607479071442</v>
      </c>
    </row>
    <row r="3532" spans="2:2" ht="15">
      <c r="B3532" s="181">
        <v>21.999093062110376</v>
      </c>
    </row>
    <row r="3533" spans="2:2" ht="15">
      <c r="B3533" s="181">
        <v>28.373195064682815</v>
      </c>
    </row>
    <row r="3534" spans="2:2" ht="15">
      <c r="B3534" s="181">
        <v>24.815304448090597</v>
      </c>
    </row>
    <row r="3535" spans="2:2" ht="15">
      <c r="B3535" s="181">
        <v>17.357143124977309</v>
      </c>
    </row>
    <row r="3536" spans="2:2" ht="15">
      <c r="B3536" s="181">
        <v>5.819743625168436</v>
      </c>
    </row>
    <row r="3537" spans="2:2" ht="15">
      <c r="B3537" s="181">
        <v>11.383171955777224</v>
      </c>
    </row>
    <row r="3538" spans="2:2" ht="15">
      <c r="B3538" s="181">
        <v>43.972919297361088</v>
      </c>
    </row>
    <row r="3539" spans="2:2" ht="15">
      <c r="B3539" s="181">
        <v>14.275972121817418</v>
      </c>
    </row>
    <row r="3540" spans="2:2" ht="15">
      <c r="B3540" s="181">
        <v>19.389283967737164</v>
      </c>
    </row>
    <row r="3541" spans="2:2" ht="15">
      <c r="B3541" s="181">
        <v>2.5905064572192322</v>
      </c>
    </row>
    <row r="3542" spans="2:2" ht="15">
      <c r="B3542" s="181">
        <v>19.860861405667553</v>
      </c>
    </row>
    <row r="3543" spans="2:2" ht="15">
      <c r="B3543" s="181">
        <v>13.23852085062793</v>
      </c>
    </row>
    <row r="3544" spans="2:2" ht="15">
      <c r="B3544" s="181">
        <v>5.5041839315080718</v>
      </c>
    </row>
    <row r="3545" spans="2:2" ht="15">
      <c r="B3545" s="181">
        <v>16.288417891148878</v>
      </c>
    </row>
    <row r="3546" spans="2:2" ht="15">
      <c r="B3546" s="181">
        <v>23.37615525939221</v>
      </c>
    </row>
    <row r="3547" spans="2:2" ht="15">
      <c r="B3547" s="181">
        <v>9.792469100886743</v>
      </c>
    </row>
    <row r="3548" spans="2:2" ht="15">
      <c r="B3548" s="181">
        <v>14.018199444648317</v>
      </c>
    </row>
    <row r="3549" spans="2:2" ht="15">
      <c r="B3549" s="181">
        <v>2.9635110028292568</v>
      </c>
    </row>
    <row r="3550" spans="2:2" ht="15">
      <c r="B3550" s="181">
        <v>29.407873190297234</v>
      </c>
    </row>
    <row r="3551" spans="2:2" ht="15">
      <c r="B3551" s="181">
        <v>27.128173588128007</v>
      </c>
    </row>
    <row r="3552" spans="2:2" ht="15">
      <c r="B3552" s="181">
        <v>18.785149753340022</v>
      </c>
    </row>
    <row r="3553" spans="2:2" ht="15">
      <c r="B3553" s="181">
        <v>24.896106115210358</v>
      </c>
    </row>
    <row r="3554" spans="2:2" ht="15">
      <c r="B3554" s="181">
        <v>6.3745860287524287</v>
      </c>
    </row>
    <row r="3555" spans="2:2" ht="15">
      <c r="B3555" s="181">
        <v>9.8369345174452878</v>
      </c>
    </row>
    <row r="3556" spans="2:2" ht="15">
      <c r="B3556" s="181">
        <v>28.995345667887424</v>
      </c>
    </row>
    <row r="3557" spans="2:2" ht="15">
      <c r="B3557" s="181">
        <v>67.494960846699001</v>
      </c>
    </row>
    <row r="3558" spans="2:2" ht="15">
      <c r="B3558" s="181">
        <v>6.6251123416407998</v>
      </c>
    </row>
    <row r="3559" spans="2:2" ht="15">
      <c r="B3559" s="181">
        <v>14.831048051849747</v>
      </c>
    </row>
    <row r="3560" spans="2:2" ht="15">
      <c r="B3560" s="181">
        <v>22.922361020221878</v>
      </c>
    </row>
    <row r="3561" spans="2:2" ht="15">
      <c r="B3561" s="181">
        <v>8.1102178829891329</v>
      </c>
    </row>
    <row r="3562" spans="2:2" ht="15">
      <c r="B3562" s="181">
        <v>23.078786392698454</v>
      </c>
    </row>
    <row r="3563" spans="2:2" ht="15">
      <c r="B3563" s="181">
        <v>29.725892817108679</v>
      </c>
    </row>
    <row r="3564" spans="2:2" ht="15">
      <c r="B3564" s="181">
        <v>24.162384223460919</v>
      </c>
    </row>
    <row r="3565" spans="2:2" ht="15">
      <c r="B3565" s="181">
        <v>41.020815313285873</v>
      </c>
    </row>
    <row r="3566" spans="2:2" ht="15">
      <c r="B3566" s="181">
        <v>9.7238092249124151</v>
      </c>
    </row>
    <row r="3567" spans="2:2" ht="15">
      <c r="B3567" s="181">
        <v>27.343279738480881</v>
      </c>
    </row>
    <row r="3568" spans="2:2" ht="15">
      <c r="B3568" s="181">
        <v>13.557106920350593</v>
      </c>
    </row>
    <row r="3569" spans="2:2" ht="15">
      <c r="B3569" s="181">
        <v>20.733938463175011</v>
      </c>
    </row>
    <row r="3570" spans="2:2" ht="15">
      <c r="B3570" s="181">
        <v>6.8873669365727466</v>
      </c>
    </row>
    <row r="3571" spans="2:2" ht="15">
      <c r="B3571" s="181">
        <v>16.846089242015388</v>
      </c>
    </row>
    <row r="3572" spans="2:2" ht="15">
      <c r="B3572" s="181">
        <v>13.901401898942439</v>
      </c>
    </row>
    <row r="3573" spans="2:2" ht="15">
      <c r="B3573" s="181">
        <v>17.07651403381896</v>
      </c>
    </row>
    <row r="3574" spans="2:2" ht="15">
      <c r="B3574" s="181">
        <v>37.377961085309032</v>
      </c>
    </row>
    <row r="3575" spans="2:2" ht="15">
      <c r="B3575" s="181">
        <v>27.992382858612118</v>
      </c>
    </row>
    <row r="3576" spans="2:2" ht="15">
      <c r="B3576" s="181">
        <v>15.051069188315005</v>
      </c>
    </row>
    <row r="3577" spans="2:2" ht="15">
      <c r="B3577" s="181">
        <v>33.148755654981258</v>
      </c>
    </row>
    <row r="3578" spans="2:2" ht="15">
      <c r="B3578" s="181">
        <v>45.931143566206515</v>
      </c>
    </row>
    <row r="3579" spans="2:2" ht="15">
      <c r="B3579" s="181">
        <v>33.689129204051113</v>
      </c>
    </row>
    <row r="3580" spans="2:2" ht="15">
      <c r="B3580" s="181">
        <v>33.181947337638817</v>
      </c>
    </row>
    <row r="3581" spans="2:2" ht="15">
      <c r="B3581" s="181">
        <v>10.772409889655298</v>
      </c>
    </row>
    <row r="3582" spans="2:2" ht="15">
      <c r="B3582" s="181">
        <v>16.764299772142188</v>
      </c>
    </row>
    <row r="3583" spans="2:2" ht="15">
      <c r="B3583" s="181">
        <v>11.649234204680637</v>
      </c>
    </row>
    <row r="3584" spans="2:2" ht="15">
      <c r="B3584" s="181">
        <v>23.993851985374061</v>
      </c>
    </row>
    <row r="3585" spans="2:2" ht="15">
      <c r="B3585" s="181">
        <v>12.798748359481587</v>
      </c>
    </row>
    <row r="3586" spans="2:2" ht="15">
      <c r="B3586" s="181">
        <v>12.489330835441027</v>
      </c>
    </row>
    <row r="3587" spans="2:2" ht="15">
      <c r="B3587" s="181">
        <v>11.06052401097366</v>
      </c>
    </row>
    <row r="3588" spans="2:2" ht="15">
      <c r="B3588" s="181">
        <v>10.813829508922087</v>
      </c>
    </row>
    <row r="3589" spans="2:2" ht="15">
      <c r="B3589" s="181">
        <v>17.131030891227681</v>
      </c>
    </row>
    <row r="3590" spans="2:2" ht="15">
      <c r="B3590" s="181">
        <v>15.198069951621077</v>
      </c>
    </row>
    <row r="3591" spans="2:2" ht="15">
      <c r="B3591" s="181">
        <v>27.517633814407464</v>
      </c>
    </row>
    <row r="3592" spans="2:2" ht="15">
      <c r="B3592" s="181">
        <v>22.836715429297705</v>
      </c>
    </row>
    <row r="3593" spans="2:2" ht="15">
      <c r="B3593" s="181">
        <v>16.50539475858</v>
      </c>
    </row>
    <row r="3594" spans="2:2" ht="15">
      <c r="B3594" s="181">
        <v>20.038124544798233</v>
      </c>
    </row>
    <row r="3595" spans="2:2" ht="15">
      <c r="B3595" s="181">
        <v>20.490480093046049</v>
      </c>
    </row>
    <row r="3596" spans="2:2" ht="15">
      <c r="B3596" s="181">
        <v>23.085958751175891</v>
      </c>
    </row>
    <row r="3597" spans="2:2" ht="15">
      <c r="B3597" s="181">
        <v>17.64542689915233</v>
      </c>
    </row>
    <row r="3598" spans="2:2" ht="15">
      <c r="B3598" s="181">
        <v>20.199529110825424</v>
      </c>
    </row>
    <row r="3599" spans="2:2" ht="15">
      <c r="B3599" s="181">
        <v>15.879514310763225</v>
      </c>
    </row>
    <row r="3600" spans="2:2" ht="15">
      <c r="B3600" s="181">
        <v>16.97213336538228</v>
      </c>
    </row>
    <row r="3601" spans="2:2" ht="15">
      <c r="B3601" s="181">
        <v>16.029300392151502</v>
      </c>
    </row>
    <row r="3602" spans="2:2" ht="15">
      <c r="B3602" s="181">
        <v>39.095612600106186</v>
      </c>
    </row>
    <row r="3603" spans="2:2" ht="15">
      <c r="B3603" s="181">
        <v>30.902082056069428</v>
      </c>
    </row>
    <row r="3604" spans="2:2" ht="15">
      <c r="B3604" s="181">
        <v>9.6789794903761006</v>
      </c>
    </row>
    <row r="3605" spans="2:2" ht="15">
      <c r="B3605" s="181">
        <v>20.042971003897261</v>
      </c>
    </row>
    <row r="3606" spans="2:2" ht="15">
      <c r="B3606" s="181">
        <v>6.7729806329995892</v>
      </c>
    </row>
    <row r="3607" spans="2:2" ht="15">
      <c r="B3607" s="181">
        <v>11.680864586729275</v>
      </c>
    </row>
    <row r="3608" spans="2:2" ht="15">
      <c r="B3608" s="181">
        <v>7.0943199651880775</v>
      </c>
    </row>
    <row r="3609" spans="2:2" ht="15">
      <c r="B3609" s="181">
        <v>13.989787228875636</v>
      </c>
    </row>
    <row r="3610" spans="2:2" ht="15">
      <c r="B3610" s="181">
        <v>23.432547927518534</v>
      </c>
    </row>
    <row r="3611" spans="2:2" ht="15">
      <c r="B3611" s="181">
        <v>10.356232571428894</v>
      </c>
    </row>
    <row r="3612" spans="2:2" ht="15">
      <c r="B3612" s="181">
        <v>13.300722793309811</v>
      </c>
    </row>
    <row r="3613" spans="2:2" ht="15">
      <c r="B3613" s="181">
        <v>16.071028659968071</v>
      </c>
    </row>
    <row r="3614" spans="2:2" ht="15">
      <c r="B3614" s="181">
        <v>16.043665124245553</v>
      </c>
    </row>
    <row r="3615" spans="2:2" ht="15">
      <c r="B3615" s="181">
        <v>19.240545880186012</v>
      </c>
    </row>
    <row r="3616" spans="2:2" ht="15">
      <c r="B3616" s="181">
        <v>5.7085432077985683</v>
      </c>
    </row>
    <row r="3617" spans="2:2" ht="15">
      <c r="B3617" s="181">
        <v>18.376136247202119</v>
      </c>
    </row>
    <row r="3618" spans="2:2" ht="15">
      <c r="B3618" s="181">
        <v>31.433371411791015</v>
      </c>
    </row>
    <row r="3619" spans="2:2" ht="15">
      <c r="B3619" s="181">
        <v>28.274455288679953</v>
      </c>
    </row>
    <row r="3620" spans="2:2" ht="15">
      <c r="B3620" s="181">
        <v>9.3469245251145576</v>
      </c>
    </row>
    <row r="3621" spans="2:2" ht="15">
      <c r="B3621" s="181">
        <v>14.971794143946111</v>
      </c>
    </row>
    <row r="3622" spans="2:2" ht="15">
      <c r="B3622" s="181">
        <v>32.308511423540892</v>
      </c>
    </row>
    <row r="3623" spans="2:2" ht="15">
      <c r="B3623" s="181">
        <v>8.0485391341224499</v>
      </c>
    </row>
    <row r="3624" spans="2:2" ht="15">
      <c r="B3624" s="181">
        <v>16.731153139406782</v>
      </c>
    </row>
    <row r="3625" spans="2:2" ht="15">
      <c r="B3625" s="181">
        <v>21.434583389331667</v>
      </c>
    </row>
    <row r="3626" spans="2:2" ht="15">
      <c r="B3626" s="181">
        <v>19.601685929675064</v>
      </c>
    </row>
    <row r="3627" spans="2:2" ht="15">
      <c r="B3627" s="181">
        <v>19.970584604666541</v>
      </c>
    </row>
    <row r="3628" spans="2:2" ht="15">
      <c r="B3628" s="181">
        <v>12.210921971378488</v>
      </c>
    </row>
    <row r="3629" spans="2:2" ht="15">
      <c r="B3629" s="181">
        <v>17.246444749114605</v>
      </c>
    </row>
    <row r="3630" spans="2:2" ht="15">
      <c r="B3630" s="181">
        <v>37.449608915960603</v>
      </c>
    </row>
    <row r="3631" spans="2:2" ht="15">
      <c r="B3631" s="181">
        <v>13.699161538255677</v>
      </c>
    </row>
    <row r="3632" spans="2:2" ht="15">
      <c r="B3632" s="181">
        <v>22.340830864219821</v>
      </c>
    </row>
    <row r="3633" spans="2:2" ht="15">
      <c r="B3633" s="181">
        <v>41.291363243707508</v>
      </c>
    </row>
    <row r="3634" spans="2:2" ht="15">
      <c r="B3634" s="181">
        <v>19.318200086089178</v>
      </c>
    </row>
    <row r="3635" spans="2:2" ht="15">
      <c r="B3635" s="181">
        <v>26.17662085124298</v>
      </c>
    </row>
    <row r="3636" spans="2:2" ht="15">
      <c r="B3636" s="181">
        <v>26.29316092172289</v>
      </c>
    </row>
    <row r="3637" spans="2:2" ht="15">
      <c r="B3637" s="181">
        <v>14.225204591303667</v>
      </c>
    </row>
    <row r="3638" spans="2:2" ht="15">
      <c r="B3638" s="181">
        <v>8.9272575997470387</v>
      </c>
    </row>
    <row r="3639" spans="2:2" ht="15">
      <c r="B3639" s="181">
        <v>12.664394727768757</v>
      </c>
    </row>
    <row r="3640" spans="2:2" ht="15">
      <c r="B3640" s="181">
        <v>38.624904189656831</v>
      </c>
    </row>
    <row r="3641" spans="2:2" ht="15">
      <c r="B3641" s="181">
        <v>27.991765052314683</v>
      </c>
    </row>
    <row r="3642" spans="2:2" ht="15">
      <c r="B3642" s="181">
        <v>24.186682835133116</v>
      </c>
    </row>
    <row r="3643" spans="2:2" ht="15">
      <c r="B3643" s="181">
        <v>9.0250949405312202</v>
      </c>
    </row>
    <row r="3644" spans="2:2" ht="15">
      <c r="B3644" s="181">
        <v>9.821997193330267</v>
      </c>
    </row>
    <row r="3645" spans="2:2" ht="15">
      <c r="B3645" s="181">
        <v>60.149995944885134</v>
      </c>
    </row>
    <row r="3646" spans="2:2" ht="15">
      <c r="B3646" s="181">
        <v>37.735126558225204</v>
      </c>
    </row>
    <row r="3647" spans="2:2" ht="15">
      <c r="B3647" s="181">
        <v>29.25966878798608</v>
      </c>
    </row>
    <row r="3648" spans="2:2" ht="15">
      <c r="B3648" s="181">
        <v>91.713339680266856</v>
      </c>
    </row>
    <row r="3649" spans="2:2" ht="15">
      <c r="B3649" s="181">
        <v>20.834675668306794</v>
      </c>
    </row>
    <row r="3650" spans="2:2" ht="15">
      <c r="B3650" s="181">
        <v>12.080378777336252</v>
      </c>
    </row>
    <row r="3651" spans="2:2" ht="15">
      <c r="B3651" s="181">
        <v>29.727832028565878</v>
      </c>
    </row>
    <row r="3652" spans="2:2" ht="15">
      <c r="B3652" s="181">
        <v>34.629806813455005</v>
      </c>
    </row>
    <row r="3653" spans="2:2" ht="15">
      <c r="B3653" s="181">
        <v>14.841401463964907</v>
      </c>
    </row>
    <row r="3654" spans="2:2" ht="15">
      <c r="B3654" s="181">
        <v>38.592156761234399</v>
      </c>
    </row>
    <row r="3655" spans="2:2" ht="15">
      <c r="B3655" s="181">
        <v>20.80334300196051</v>
      </c>
    </row>
    <row r="3656" spans="2:2" ht="15">
      <c r="B3656" s="181">
        <v>21.713377311998187</v>
      </c>
    </row>
    <row r="3657" spans="2:2" ht="15">
      <c r="B3657" s="181">
        <v>20.242346882001385</v>
      </c>
    </row>
    <row r="3658" spans="2:2" ht="15">
      <c r="B3658" s="181">
        <v>18.639493023201759</v>
      </c>
    </row>
    <row r="3659" spans="2:2" ht="15">
      <c r="B3659" s="181">
        <v>14.919694996061015</v>
      </c>
    </row>
    <row r="3660" spans="2:2" ht="15">
      <c r="B3660" s="181">
        <v>48.363770556264377</v>
      </c>
    </row>
    <row r="3661" spans="2:2" ht="15">
      <c r="B3661" s="181">
        <v>26.705753408783512</v>
      </c>
    </row>
    <row r="3662" spans="2:2" ht="15">
      <c r="B3662" s="181">
        <v>40.608947497268666</v>
      </c>
    </row>
    <row r="3663" spans="2:2" ht="15">
      <c r="B3663" s="181">
        <v>44.226634673096108</v>
      </c>
    </row>
    <row r="3664" spans="2:2" ht="15">
      <c r="B3664" s="181">
        <v>29.325329549683691</v>
      </c>
    </row>
    <row r="3665" spans="2:2" ht="15">
      <c r="B3665" s="181">
        <v>10.984923421188682</v>
      </c>
    </row>
    <row r="3666" spans="2:2" ht="15">
      <c r="B3666" s="181">
        <v>24.208475328965346</v>
      </c>
    </row>
    <row r="3667" spans="2:2" ht="15">
      <c r="B3667" s="181">
        <v>21.917297340628068</v>
      </c>
    </row>
    <row r="3668" spans="2:2" ht="15">
      <c r="B3668" s="181">
        <v>6.9415854645932695</v>
      </c>
    </row>
    <row r="3669" spans="2:2" ht="15">
      <c r="B3669" s="181">
        <v>25.118874649530333</v>
      </c>
    </row>
    <row r="3670" spans="2:2" ht="15">
      <c r="B3670" s="181">
        <v>8.6260589133598593</v>
      </c>
    </row>
    <row r="3671" spans="2:2" ht="15">
      <c r="B3671" s="181">
        <v>23.265348129970818</v>
      </c>
    </row>
    <row r="3672" spans="2:2" ht="15">
      <c r="B3672" s="181">
        <v>13.203818568122681</v>
      </c>
    </row>
    <row r="3673" spans="2:2" ht="15">
      <c r="B3673" s="181">
        <v>45.631318255580673</v>
      </c>
    </row>
    <row r="3674" spans="2:2" ht="15">
      <c r="B3674" s="181">
        <v>10.356334486652026</v>
      </c>
    </row>
    <row r="3675" spans="2:2" ht="15">
      <c r="B3675" s="181">
        <v>16.328663018154533</v>
      </c>
    </row>
    <row r="3676" spans="2:2" ht="15">
      <c r="B3676" s="181">
        <v>14.150948888024169</v>
      </c>
    </row>
    <row r="3677" spans="2:2" ht="15">
      <c r="B3677" s="181">
        <v>23.598884862600457</v>
      </c>
    </row>
    <row r="3678" spans="2:2" ht="15">
      <c r="B3678" s="181">
        <v>17.169229756801883</v>
      </c>
    </row>
    <row r="3679" spans="2:2" ht="15">
      <c r="B3679" s="181">
        <v>17.158810488083084</v>
      </c>
    </row>
    <row r="3680" spans="2:2" ht="15">
      <c r="B3680" s="181">
        <v>9.5024859468216452</v>
      </c>
    </row>
    <row r="3681" spans="2:2" ht="15">
      <c r="B3681" s="181">
        <v>16.932650605347586</v>
      </c>
    </row>
    <row r="3682" spans="2:2" ht="15">
      <c r="B3682" s="181">
        <v>11.085481830925559</v>
      </c>
    </row>
    <row r="3683" spans="2:2" ht="15">
      <c r="B3683" s="181">
        <v>40.095315318561568</v>
      </c>
    </row>
    <row r="3684" spans="2:2" ht="15">
      <c r="B3684" s="181">
        <v>10.360432413563734</v>
      </c>
    </row>
    <row r="3685" spans="2:2" ht="15">
      <c r="B3685" s="181">
        <v>36.57802238693661</v>
      </c>
    </row>
    <row r="3686" spans="2:2" ht="15">
      <c r="B3686" s="181">
        <v>18.60188862962211</v>
      </c>
    </row>
    <row r="3687" spans="2:2" ht="15">
      <c r="B3687" s="181">
        <v>7.0985470291436057</v>
      </c>
    </row>
    <row r="3688" spans="2:2" ht="15">
      <c r="B3688" s="181">
        <v>10.138828408561251</v>
      </c>
    </row>
    <row r="3689" spans="2:2" ht="15">
      <c r="B3689" s="181">
        <v>19.089288428129439</v>
      </c>
    </row>
    <row r="3690" spans="2:2" ht="15">
      <c r="B3690" s="181">
        <v>6.4093553803337944</v>
      </c>
    </row>
    <row r="3691" spans="2:2" ht="15">
      <c r="B3691" s="181">
        <v>11.111122854582529</v>
      </c>
    </row>
    <row r="3692" spans="2:2" ht="15">
      <c r="B3692" s="181">
        <v>17.60005891241736</v>
      </c>
    </row>
    <row r="3693" spans="2:2" ht="15">
      <c r="B3693" s="181">
        <v>25.846219152330171</v>
      </c>
    </row>
    <row r="3694" spans="2:2" ht="15">
      <c r="B3694" s="181">
        <v>69.725084811503507</v>
      </c>
    </row>
    <row r="3695" spans="2:2" ht="15">
      <c r="B3695" s="181">
        <v>12.138845101318623</v>
      </c>
    </row>
    <row r="3696" spans="2:2" ht="15">
      <c r="B3696" s="181">
        <v>7.7222862388399385</v>
      </c>
    </row>
    <row r="3697" spans="2:2" ht="15">
      <c r="B3697" s="181">
        <v>8.2616164128428871</v>
      </c>
    </row>
    <row r="3698" spans="2:2" ht="15">
      <c r="B3698" s="181">
        <v>8.69524091216282</v>
      </c>
    </row>
    <row r="3699" spans="2:2" ht="15">
      <c r="B3699" s="181">
        <v>40.541218039156107</v>
      </c>
    </row>
    <row r="3700" spans="2:2" ht="15">
      <c r="B3700" s="181">
        <v>38.392221571985743</v>
      </c>
    </row>
    <row r="3701" spans="2:2" ht="15">
      <c r="B3701" s="181">
        <v>20.224658472817691</v>
      </c>
    </row>
    <row r="3702" spans="2:2" ht="15">
      <c r="B3702" s="181">
        <v>13.604638476205587</v>
      </c>
    </row>
    <row r="3703" spans="2:2" ht="15">
      <c r="B3703" s="181">
        <v>6.2208630218015442</v>
      </c>
    </row>
    <row r="3704" spans="2:2" ht="15">
      <c r="B3704" s="181">
        <v>15.735827338197478</v>
      </c>
    </row>
    <row r="3705" spans="2:2" ht="15">
      <c r="B3705" s="181">
        <v>13.36795448215242</v>
      </c>
    </row>
    <row r="3706" spans="2:2" ht="15">
      <c r="B3706" s="181">
        <v>20.979574504916819</v>
      </c>
    </row>
    <row r="3707" spans="2:2" ht="15">
      <c r="B3707" s="181">
        <v>47.210378308728565</v>
      </c>
    </row>
    <row r="3708" spans="2:2" ht="15">
      <c r="B3708" s="181">
        <v>18.583046750559163</v>
      </c>
    </row>
    <row r="3709" spans="2:2" ht="15">
      <c r="B3709" s="181">
        <v>30.435557056148902</v>
      </c>
    </row>
    <row r="3710" spans="2:2" ht="15">
      <c r="B3710" s="181">
        <v>5.6477203664502644</v>
      </c>
    </row>
    <row r="3711" spans="2:2" ht="15">
      <c r="B3711" s="181">
        <v>9.3799680101969667</v>
      </c>
    </row>
    <row r="3712" spans="2:2" ht="15">
      <c r="B3712" s="181">
        <v>22.563355607834229</v>
      </c>
    </row>
    <row r="3713" spans="2:2" ht="15">
      <c r="B3713" s="181">
        <v>12.857499557932423</v>
      </c>
    </row>
    <row r="3714" spans="2:2" ht="15">
      <c r="B3714" s="181">
        <v>21.763134135695505</v>
      </c>
    </row>
    <row r="3715" spans="2:2" ht="15">
      <c r="B3715" s="181">
        <v>16.911948049743557</v>
      </c>
    </row>
    <row r="3716" spans="2:2" ht="15">
      <c r="B3716" s="181">
        <v>16.938851140497057</v>
      </c>
    </row>
    <row r="3717" spans="2:2" ht="15">
      <c r="B3717" s="181">
        <v>10.574220358305654</v>
      </c>
    </row>
    <row r="3718" spans="2:2" ht="15">
      <c r="B3718" s="181">
        <v>12.216531671495112</v>
      </c>
    </row>
    <row r="3719" spans="2:2" ht="15">
      <c r="B3719" s="181">
        <v>6.3830912676180267</v>
      </c>
    </row>
    <row r="3720" spans="2:2" ht="15">
      <c r="B3720" s="181">
        <v>17.795358306485522</v>
      </c>
    </row>
    <row r="3721" spans="2:2" ht="15">
      <c r="B3721" s="181">
        <v>35.03275535641599</v>
      </c>
    </row>
    <row r="3722" spans="2:2" ht="15">
      <c r="B3722" s="181">
        <v>13.458196611393305</v>
      </c>
    </row>
    <row r="3723" spans="2:2" ht="15">
      <c r="B3723" s="181">
        <v>33.612031761658614</v>
      </c>
    </row>
    <row r="3724" spans="2:2" ht="15">
      <c r="B3724" s="181">
        <v>23.122024167502218</v>
      </c>
    </row>
    <row r="3725" spans="2:2" ht="15">
      <c r="B3725" s="181">
        <v>14.802733087107027</v>
      </c>
    </row>
    <row r="3726" spans="2:2" ht="15">
      <c r="B3726" s="181">
        <v>21.167132545466309</v>
      </c>
    </row>
    <row r="3727" spans="2:2" ht="15">
      <c r="B3727" s="181">
        <v>10.937686518609153</v>
      </c>
    </row>
    <row r="3728" spans="2:2" ht="15">
      <c r="B3728" s="181">
        <v>19.576658296972173</v>
      </c>
    </row>
    <row r="3729" spans="2:2" ht="15">
      <c r="B3729" s="181">
        <v>10.881917540318145</v>
      </c>
    </row>
    <row r="3730" spans="2:2" ht="15">
      <c r="B3730" s="181">
        <v>10.135353738814954</v>
      </c>
    </row>
    <row r="3731" spans="2:2" ht="15">
      <c r="B3731" s="181">
        <v>30.496218906542151</v>
      </c>
    </row>
    <row r="3732" spans="2:2" ht="15">
      <c r="B3732" s="181">
        <v>26.907843326277245</v>
      </c>
    </row>
    <row r="3733" spans="2:2" ht="15">
      <c r="B3733" s="181">
        <v>8.7317380586100679</v>
      </c>
    </row>
    <row r="3734" spans="2:2" ht="15">
      <c r="B3734" s="181">
        <v>10.557442499407037</v>
      </c>
    </row>
    <row r="3735" spans="2:2" ht="15">
      <c r="B3735" s="181">
        <v>12.152274967267314</v>
      </c>
    </row>
    <row r="3736" spans="2:2" ht="15">
      <c r="B3736" s="181">
        <v>20.370044437570414</v>
      </c>
    </row>
    <row r="3737" spans="2:2" ht="15">
      <c r="B3737" s="181">
        <v>6.3446092425202618</v>
      </c>
    </row>
    <row r="3738" spans="2:2" ht="15">
      <c r="B3738" s="181">
        <v>6.0336175893666342</v>
      </c>
    </row>
    <row r="3739" spans="2:2" ht="15">
      <c r="B3739" s="181">
        <v>16.712394568684516</v>
      </c>
    </row>
    <row r="3740" spans="2:2" ht="15">
      <c r="B3740" s="181">
        <v>19.769667927542827</v>
      </c>
    </row>
    <row r="3741" spans="2:2" ht="15">
      <c r="B3741" s="181">
        <v>6.9230767516812506</v>
      </c>
    </row>
    <row r="3742" spans="2:2" ht="15">
      <c r="B3742" s="181">
        <v>8.3365500943244069</v>
      </c>
    </row>
    <row r="3743" spans="2:2" ht="15">
      <c r="B3743" s="181">
        <v>26.143070566283857</v>
      </c>
    </row>
    <row r="3744" spans="2:2" ht="15">
      <c r="B3744" s="181">
        <v>20.330977663725701</v>
      </c>
    </row>
    <row r="3745" spans="2:2" ht="15">
      <c r="B3745" s="181">
        <v>7.2651914394242407</v>
      </c>
    </row>
    <row r="3746" spans="2:2" ht="15">
      <c r="B3746" s="181">
        <v>14.989357944236176</v>
      </c>
    </row>
    <row r="3747" spans="2:2" ht="15">
      <c r="B3747" s="181">
        <v>33.971011450682113</v>
      </c>
    </row>
    <row r="3748" spans="2:2" ht="15">
      <c r="B3748" s="181">
        <v>14.953886910295649</v>
      </c>
    </row>
    <row r="3749" spans="2:2" ht="15">
      <c r="B3749" s="181">
        <v>8.2968354587986202</v>
      </c>
    </row>
    <row r="3750" spans="2:2" ht="15">
      <c r="B3750" s="181">
        <v>16.492932109571335</v>
      </c>
    </row>
    <row r="3751" spans="2:2" ht="15">
      <c r="B3751" s="181">
        <v>16.355511190189144</v>
      </c>
    </row>
    <row r="3752" spans="2:2" ht="15">
      <c r="B3752" s="181">
        <v>30.897537330349362</v>
      </c>
    </row>
    <row r="3753" spans="2:2" ht="15">
      <c r="B3753" s="181">
        <v>24.352368847937743</v>
      </c>
    </row>
    <row r="3754" spans="2:2" ht="15">
      <c r="B3754" s="181">
        <v>30.777684646094823</v>
      </c>
    </row>
    <row r="3755" spans="2:2" ht="15">
      <c r="B3755" s="181">
        <v>9.3661268888312854</v>
      </c>
    </row>
    <row r="3756" spans="2:2" ht="15">
      <c r="B3756" s="181">
        <v>23.885241284046238</v>
      </c>
    </row>
    <row r="3757" spans="2:2" ht="15">
      <c r="B3757" s="181">
        <v>9.2412038825197396</v>
      </c>
    </row>
    <row r="3758" spans="2:2" ht="15">
      <c r="B3758" s="181">
        <v>4.4998354423355282</v>
      </c>
    </row>
    <row r="3759" spans="2:2" ht="15">
      <c r="B3759" s="181">
        <v>61.876444451124073</v>
      </c>
    </row>
    <row r="3760" spans="2:2" ht="15">
      <c r="B3760" s="181">
        <v>15.941434517193716</v>
      </c>
    </row>
    <row r="3761" spans="2:2" ht="15">
      <c r="B3761" s="181">
        <v>21.705578336533144</v>
      </c>
    </row>
    <row r="3762" spans="2:2" ht="15">
      <c r="B3762" s="181">
        <v>9.7427405753239071</v>
      </c>
    </row>
    <row r="3763" spans="2:2" ht="15">
      <c r="B3763" s="181">
        <v>22.697328745924509</v>
      </c>
    </row>
    <row r="3764" spans="2:2" ht="15">
      <c r="B3764" s="181">
        <v>17.709752681855171</v>
      </c>
    </row>
    <row r="3765" spans="2:2" ht="15">
      <c r="B3765" s="181">
        <v>21.145740672372458</v>
      </c>
    </row>
    <row r="3766" spans="2:2" ht="15">
      <c r="B3766" s="181">
        <v>25.090989304442342</v>
      </c>
    </row>
    <row r="3767" spans="2:2" ht="15">
      <c r="B3767" s="181">
        <v>18.684854191349729</v>
      </c>
    </row>
    <row r="3768" spans="2:2" ht="15">
      <c r="B3768" s="181">
        <v>5.7910862765141582</v>
      </c>
    </row>
    <row r="3769" spans="2:2" ht="15">
      <c r="B3769" s="181">
        <v>21.773189703583597</v>
      </c>
    </row>
    <row r="3770" spans="2:2" ht="15">
      <c r="B3770" s="181">
        <v>16.658620088719971</v>
      </c>
    </row>
    <row r="3771" spans="2:2" ht="15">
      <c r="B3771" s="181">
        <v>13.017509737819713</v>
      </c>
    </row>
    <row r="3772" spans="2:2" ht="15">
      <c r="B3772" s="181">
        <v>25.000553750865834</v>
      </c>
    </row>
    <row r="3773" spans="2:2" ht="15">
      <c r="B3773" s="181">
        <v>2.5831195233723587</v>
      </c>
    </row>
    <row r="3774" spans="2:2" ht="15">
      <c r="B3774" s="181">
        <v>16.940257137236895</v>
      </c>
    </row>
    <row r="3775" spans="2:2" ht="15">
      <c r="B3775" s="181">
        <v>45.149540381049661</v>
      </c>
    </row>
    <row r="3776" spans="2:2" ht="15">
      <c r="B3776" s="181">
        <v>47.714407972751502</v>
      </c>
    </row>
    <row r="3777" spans="2:2" ht="15">
      <c r="B3777" s="181">
        <v>12.289477212908062</v>
      </c>
    </row>
    <row r="3778" spans="2:2" ht="15">
      <c r="B3778" s="181">
        <v>24.416896868535456</v>
      </c>
    </row>
    <row r="3779" spans="2:2" ht="15">
      <c r="B3779" s="181">
        <v>20.046360916868103</v>
      </c>
    </row>
    <row r="3780" spans="2:2" ht="15">
      <c r="B3780" s="181">
        <v>29.449184389120209</v>
      </c>
    </row>
    <row r="3781" spans="2:2" ht="15">
      <c r="B3781" s="181">
        <v>18.266697441826715</v>
      </c>
    </row>
    <row r="3782" spans="2:2" ht="15">
      <c r="B3782" s="181">
        <v>29.429486667303674</v>
      </c>
    </row>
    <row r="3783" spans="2:2" ht="15">
      <c r="B3783" s="181">
        <v>13.325184434818333</v>
      </c>
    </row>
    <row r="3784" spans="2:2" ht="15">
      <c r="B3784" s="181">
        <v>15.847847582619796</v>
      </c>
    </row>
    <row r="3785" spans="2:2" ht="15">
      <c r="B3785" s="181">
        <v>10.641409430594559</v>
      </c>
    </row>
    <row r="3786" spans="2:2" ht="15">
      <c r="B3786" s="181">
        <v>18.111966039269962</v>
      </c>
    </row>
    <row r="3787" spans="2:2" ht="15">
      <c r="B3787" s="181">
        <v>14.55710016883161</v>
      </c>
    </row>
    <row r="3788" spans="2:2" ht="15">
      <c r="B3788" s="181">
        <v>25.883400829756326</v>
      </c>
    </row>
    <row r="3789" spans="2:2" ht="15">
      <c r="B3789" s="181">
        <v>7.24489501469633</v>
      </c>
    </row>
    <row r="3790" spans="2:2" ht="15">
      <c r="B3790" s="181">
        <v>9.9851079222126664</v>
      </c>
    </row>
    <row r="3791" spans="2:2" ht="15">
      <c r="B3791" s="181">
        <v>13.739185851912886</v>
      </c>
    </row>
    <row r="3792" spans="2:2" ht="15">
      <c r="B3792" s="181">
        <v>11.515985085246358</v>
      </c>
    </row>
    <row r="3793" spans="2:2" ht="15">
      <c r="B3793" s="181">
        <v>7.95675557606822</v>
      </c>
    </row>
    <row r="3794" spans="2:2" ht="15">
      <c r="B3794" s="181">
        <v>35.682110525786797</v>
      </c>
    </row>
    <row r="3795" spans="2:2" ht="15">
      <c r="B3795" s="181">
        <v>12.903474214465401</v>
      </c>
    </row>
    <row r="3796" spans="2:2" ht="15">
      <c r="B3796" s="181">
        <v>11.810524594234648</v>
      </c>
    </row>
    <row r="3797" spans="2:2" ht="15">
      <c r="B3797" s="181">
        <v>17.255977180320865</v>
      </c>
    </row>
    <row r="3798" spans="2:2" ht="15">
      <c r="B3798" s="181">
        <v>42.3802339541121</v>
      </c>
    </row>
    <row r="3799" spans="2:2" ht="15">
      <c r="B3799" s="181">
        <v>12.522979392888525</v>
      </c>
    </row>
    <row r="3800" spans="2:2" ht="15">
      <c r="B3800" s="181">
        <v>11.937909350327361</v>
      </c>
    </row>
    <row r="3801" spans="2:2" ht="15">
      <c r="B3801" s="181">
        <v>24.867290307729473</v>
      </c>
    </row>
    <row r="3802" spans="2:2" ht="15">
      <c r="B3802" s="181">
        <v>16.070127525242906</v>
      </c>
    </row>
    <row r="3803" spans="2:2" ht="15">
      <c r="B3803" s="181">
        <v>28.677468103758329</v>
      </c>
    </row>
    <row r="3804" spans="2:2" ht="15">
      <c r="B3804" s="181">
        <v>14.050670086830369</v>
      </c>
    </row>
    <row r="3805" spans="2:2" ht="15">
      <c r="B3805" s="181">
        <v>25.607695355131568</v>
      </c>
    </row>
    <row r="3806" spans="2:2" ht="15">
      <c r="B3806" s="181">
        <v>15.969121424845067</v>
      </c>
    </row>
    <row r="3807" spans="2:2" ht="15">
      <c r="B3807" s="181">
        <v>8.8274386630677864</v>
      </c>
    </row>
    <row r="3808" spans="2:2" ht="15">
      <c r="B3808" s="181">
        <v>8.8389562238511274</v>
      </c>
    </row>
    <row r="3809" spans="2:2" ht="15">
      <c r="B3809" s="181">
        <v>46.397773632793957</v>
      </c>
    </row>
    <row r="3810" spans="2:2" ht="15">
      <c r="B3810" s="181">
        <v>8.8273332529201163</v>
      </c>
    </row>
    <row r="3811" spans="2:2" ht="15">
      <c r="B3811" s="181">
        <v>37.198500980738451</v>
      </c>
    </row>
    <row r="3812" spans="2:2" ht="15">
      <c r="B3812" s="181">
        <v>3.4801606527952909</v>
      </c>
    </row>
    <row r="3813" spans="2:2" ht="15">
      <c r="B3813" s="181">
        <v>12.137922795228121</v>
      </c>
    </row>
    <row r="3814" spans="2:2" ht="15">
      <c r="B3814" s="181">
        <v>22.857852785359434</v>
      </c>
    </row>
    <row r="3815" spans="2:2" ht="15">
      <c r="B3815" s="181">
        <v>32.373603609289255</v>
      </c>
    </row>
    <row r="3816" spans="2:2" ht="15">
      <c r="B3816" s="181">
        <v>20.548714435296848</v>
      </c>
    </row>
    <row r="3817" spans="2:2" ht="15">
      <c r="B3817" s="181">
        <v>25.869993789835071</v>
      </c>
    </row>
    <row r="3818" spans="2:2" ht="15">
      <c r="B3818" s="181">
        <v>14.047641272729601</v>
      </c>
    </row>
    <row r="3819" spans="2:2" ht="15">
      <c r="B3819" s="181">
        <v>14.384119148226024</v>
      </c>
    </row>
    <row r="3820" spans="2:2" ht="15">
      <c r="B3820" s="181">
        <v>43.781188248268734</v>
      </c>
    </row>
    <row r="3821" spans="2:2" ht="15">
      <c r="B3821" s="181">
        <v>17.792432266996883</v>
      </c>
    </row>
    <row r="3822" spans="2:2" ht="15">
      <c r="B3822" s="181">
        <v>10.945861256576739</v>
      </c>
    </row>
    <row r="3823" spans="2:2" ht="15">
      <c r="B3823" s="181">
        <v>36.824458167198024</v>
      </c>
    </row>
    <row r="3824" spans="2:2" ht="15">
      <c r="B3824" s="181">
        <v>11.5731105264727</v>
      </c>
    </row>
    <row r="3825" spans="2:2" ht="15">
      <c r="B3825" s="181">
        <v>16.352303889401522</v>
      </c>
    </row>
    <row r="3826" spans="2:2" ht="15">
      <c r="B3826" s="181">
        <v>12.168528400767739</v>
      </c>
    </row>
    <row r="3827" spans="2:2" ht="15">
      <c r="B3827" s="181">
        <v>9.6246719492056254</v>
      </c>
    </row>
    <row r="3828" spans="2:2" ht="15">
      <c r="B3828" s="181">
        <v>35.044211225011246</v>
      </c>
    </row>
    <row r="3829" spans="2:2" ht="15">
      <c r="B3829" s="181">
        <v>19.833078608798612</v>
      </c>
    </row>
    <row r="3830" spans="2:2" ht="15">
      <c r="B3830" s="181">
        <v>8.1287742254168354</v>
      </c>
    </row>
    <row r="3831" spans="2:2" ht="15">
      <c r="B3831" s="181">
        <v>14.347726862613518</v>
      </c>
    </row>
    <row r="3832" spans="2:2" ht="15">
      <c r="B3832" s="181">
        <v>13.22386278847096</v>
      </c>
    </row>
    <row r="3833" spans="2:2" ht="15">
      <c r="B3833" s="181">
        <v>32.286372351843923</v>
      </c>
    </row>
    <row r="3834" spans="2:2" ht="15">
      <c r="B3834" s="181">
        <v>23.348529124554915</v>
      </c>
    </row>
    <row r="3835" spans="2:2" ht="15">
      <c r="B3835" s="181">
        <v>10.399531402094464</v>
      </c>
    </row>
    <row r="3836" spans="2:2" ht="15">
      <c r="B3836" s="181">
        <v>14.351915625735398</v>
      </c>
    </row>
    <row r="3837" spans="2:2" ht="15">
      <c r="B3837" s="181">
        <v>15.55337806451263</v>
      </c>
    </row>
    <row r="3838" spans="2:2" ht="15">
      <c r="B3838" s="181">
        <v>30.236923421834415</v>
      </c>
    </row>
    <row r="3839" spans="2:2" ht="15">
      <c r="B3839" s="181">
        <v>20.621662801684529</v>
      </c>
    </row>
    <row r="3840" spans="2:2" ht="15">
      <c r="B3840" s="181">
        <v>11.999246631583476</v>
      </c>
    </row>
    <row r="3841" spans="2:2" ht="15">
      <c r="B3841" s="181">
        <v>29.286557049310669</v>
      </c>
    </row>
    <row r="3842" spans="2:2" ht="15">
      <c r="B3842" s="181">
        <v>27.567492431379122</v>
      </c>
    </row>
    <row r="3843" spans="2:2" ht="15">
      <c r="B3843" s="181">
        <v>17.360835420863573</v>
      </c>
    </row>
    <row r="3844" spans="2:2" ht="15">
      <c r="B3844" s="181">
        <v>26.612358078098527</v>
      </c>
    </row>
    <row r="3845" spans="2:2" ht="15">
      <c r="B3845" s="181">
        <v>6.9130052398419144</v>
      </c>
    </row>
    <row r="3846" spans="2:2" ht="15">
      <c r="B3846" s="181">
        <v>13.070057934804273</v>
      </c>
    </row>
    <row r="3847" spans="2:2" ht="15">
      <c r="B3847" s="181">
        <v>21.057801544476483</v>
      </c>
    </row>
    <row r="3848" spans="2:2" ht="15">
      <c r="B3848" s="181">
        <v>23.554530762222914</v>
      </c>
    </row>
    <row r="3849" spans="2:2" ht="15">
      <c r="B3849" s="181">
        <v>31.110667443540567</v>
      </c>
    </row>
    <row r="3850" spans="2:2" ht="15">
      <c r="B3850" s="181">
        <v>19.325741346983836</v>
      </c>
    </row>
    <row r="3851" spans="2:2" ht="15">
      <c r="B3851" s="181">
        <v>29.855741395862498</v>
      </c>
    </row>
    <row r="3852" spans="2:2" ht="15">
      <c r="B3852" s="181">
        <v>16.10405455711788</v>
      </c>
    </row>
    <row r="3853" spans="2:2" ht="15">
      <c r="B3853" s="181">
        <v>14.663375862829856</v>
      </c>
    </row>
    <row r="3854" spans="2:2" ht="15">
      <c r="B3854" s="181">
        <v>6.4458002265236098</v>
      </c>
    </row>
    <row r="3855" spans="2:2" ht="15">
      <c r="B3855" s="181">
        <v>24.974972154593075</v>
      </c>
    </row>
    <row r="3856" spans="2:2" ht="15">
      <c r="B3856" s="181">
        <v>36.093331683447211</v>
      </c>
    </row>
    <row r="3857" spans="2:2" ht="15">
      <c r="B3857" s="181">
        <v>8.5865943486302321</v>
      </c>
    </row>
    <row r="3858" spans="2:2" ht="15">
      <c r="B3858" s="181">
        <v>10.432132614256069</v>
      </c>
    </row>
    <row r="3859" spans="2:2" ht="15">
      <c r="B3859" s="181">
        <v>15.9862491421421</v>
      </c>
    </row>
    <row r="3860" spans="2:2" ht="15">
      <c r="B3860" s="181">
        <v>11.812489681123479</v>
      </c>
    </row>
    <row r="3861" spans="2:2" ht="15">
      <c r="B3861" s="181">
        <v>53.570448317335803</v>
      </c>
    </row>
    <row r="3862" spans="2:2" ht="15">
      <c r="B3862" s="181">
        <v>10.873658650083438</v>
      </c>
    </row>
    <row r="3863" spans="2:2" ht="15">
      <c r="B3863" s="181">
        <v>3.3240355143895139</v>
      </c>
    </row>
    <row r="3864" spans="2:2" ht="15">
      <c r="B3864" s="181">
        <v>12.07815939247101</v>
      </c>
    </row>
    <row r="3865" spans="2:2" ht="15">
      <c r="B3865" s="181">
        <v>9.2841579898966167</v>
      </c>
    </row>
    <row r="3866" spans="2:2" ht="15">
      <c r="B3866" s="181">
        <v>11.808242226220326</v>
      </c>
    </row>
    <row r="3867" spans="2:2" ht="15">
      <c r="B3867" s="181">
        <v>13.83664834507824</v>
      </c>
    </row>
    <row r="3868" spans="2:2" ht="15">
      <c r="B3868" s="181">
        <v>18.240083941981258</v>
      </c>
    </row>
    <row r="3869" spans="2:2" ht="15">
      <c r="B3869" s="181">
        <v>13.77760592563094</v>
      </c>
    </row>
    <row r="3870" spans="2:2" ht="15">
      <c r="B3870" s="181">
        <v>9.1715279167378672</v>
      </c>
    </row>
    <row r="3871" spans="2:2" ht="15">
      <c r="B3871" s="181">
        <v>29.108170160143178</v>
      </c>
    </row>
    <row r="3872" spans="2:2" ht="15">
      <c r="B3872" s="181">
        <v>7.8515168397511372</v>
      </c>
    </row>
    <row r="3873" spans="2:2" ht="15">
      <c r="B3873" s="181">
        <v>22.76334838563341</v>
      </c>
    </row>
    <row r="3874" spans="2:2" ht="15">
      <c r="B3874" s="181">
        <v>21.849921947351643</v>
      </c>
    </row>
    <row r="3875" spans="2:2" ht="15">
      <c r="B3875" s="181">
        <v>12.074495991100465</v>
      </c>
    </row>
    <row r="3876" spans="2:2" ht="15">
      <c r="B3876" s="181">
        <v>55.093015495774239</v>
      </c>
    </row>
    <row r="3877" spans="2:2" ht="15">
      <c r="B3877" s="181">
        <v>20.508276657373582</v>
      </c>
    </row>
    <row r="3878" spans="2:2" ht="15">
      <c r="B3878" s="181">
        <v>7.0114122319256289</v>
      </c>
    </row>
    <row r="3879" spans="2:2" ht="15">
      <c r="B3879" s="181">
        <v>26.5604990281002</v>
      </c>
    </row>
    <row r="3880" spans="2:2" ht="15">
      <c r="B3880" s="181">
        <v>16.179934292876712</v>
      </c>
    </row>
    <row r="3881" spans="2:2" ht="15">
      <c r="B3881" s="181">
        <v>19.45456674698119</v>
      </c>
    </row>
    <row r="3882" spans="2:2" ht="15">
      <c r="B3882" s="181">
        <v>13.82574592280625</v>
      </c>
    </row>
    <row r="3883" spans="2:2" ht="15">
      <c r="B3883" s="181">
        <v>27.123693263417284</v>
      </c>
    </row>
    <row r="3884" spans="2:2" ht="15">
      <c r="B3884" s="181">
        <v>12.983125680379679</v>
      </c>
    </row>
    <row r="3885" spans="2:2" ht="15">
      <c r="B3885" s="181">
        <v>21.39640216967328</v>
      </c>
    </row>
    <row r="3886" spans="2:2" ht="15">
      <c r="B3886" s="181">
        <v>34.949955469999132</v>
      </c>
    </row>
    <row r="3887" spans="2:2" ht="15">
      <c r="B3887" s="181">
        <v>13.749551954181866</v>
      </c>
    </row>
    <row r="3888" spans="2:2" ht="15">
      <c r="B3888" s="181">
        <v>13.407509606424833</v>
      </c>
    </row>
    <row r="3889" spans="2:2" ht="15">
      <c r="B3889" s="181">
        <v>15.459832722224458</v>
      </c>
    </row>
    <row r="3890" spans="2:2" ht="15">
      <c r="B3890" s="181">
        <v>23.614011083470864</v>
      </c>
    </row>
    <row r="3891" spans="2:2" ht="15">
      <c r="B3891" s="181">
        <v>35.229256293654117</v>
      </c>
    </row>
    <row r="3892" spans="2:2" ht="15">
      <c r="B3892" s="181">
        <v>17.164877661033092</v>
      </c>
    </row>
    <row r="3893" spans="2:2" ht="15">
      <c r="B3893" s="181">
        <v>35.738690262027092</v>
      </c>
    </row>
    <row r="3894" spans="2:2" ht="15">
      <c r="B3894" s="181">
        <v>18.001472166067455</v>
      </c>
    </row>
    <row r="3895" spans="2:2" ht="15">
      <c r="B3895" s="181">
        <v>7.5147515277364301</v>
      </c>
    </row>
    <row r="3896" spans="2:2" ht="15">
      <c r="B3896" s="181">
        <v>16.888444201575073</v>
      </c>
    </row>
    <row r="3897" spans="2:2" ht="15">
      <c r="B3897" s="181">
        <v>41.751831366756711</v>
      </c>
    </row>
    <row r="3898" spans="2:2" ht="15">
      <c r="B3898" s="181">
        <v>38.00362481189007</v>
      </c>
    </row>
    <row r="3899" spans="2:2" ht="15">
      <c r="B3899" s="181">
        <v>44.324421809209703</v>
      </c>
    </row>
    <row r="3900" spans="2:2" ht="15">
      <c r="B3900" s="181">
        <v>23.069954942115718</v>
      </c>
    </row>
    <row r="3901" spans="2:2" ht="15">
      <c r="B3901" s="181">
        <v>14.904364743879327</v>
      </c>
    </row>
    <row r="3902" spans="2:2" ht="15">
      <c r="B3902" s="181">
        <v>20.560553993593828</v>
      </c>
    </row>
    <row r="3903" spans="2:2" ht="15">
      <c r="B3903" s="181">
        <v>20.301203321057358</v>
      </c>
    </row>
    <row r="3904" spans="2:2" ht="15">
      <c r="B3904" s="181">
        <v>48.698716026639907</v>
      </c>
    </row>
    <row r="3905" spans="2:2" ht="15">
      <c r="B3905" s="181">
        <v>26.403380462428892</v>
      </c>
    </row>
    <row r="3906" spans="2:2" ht="15">
      <c r="B3906" s="181">
        <v>7.8796996334359433</v>
      </c>
    </row>
    <row r="3907" spans="2:2" ht="15">
      <c r="B3907" s="181">
        <v>7.58294653290422</v>
      </c>
    </row>
    <row r="3908" spans="2:2" ht="15">
      <c r="B3908" s="181">
        <v>21.320064166985105</v>
      </c>
    </row>
    <row r="3909" spans="2:2" ht="15">
      <c r="B3909" s="181">
        <v>13.881358889838051</v>
      </c>
    </row>
    <row r="3910" spans="2:2" ht="15">
      <c r="B3910" s="181">
        <v>9.4942800287596896</v>
      </c>
    </row>
    <row r="3911" spans="2:2" ht="15">
      <c r="B3911" s="181">
        <v>17.771468560078766</v>
      </c>
    </row>
    <row r="3912" spans="2:2" ht="15">
      <c r="B3912" s="181">
        <v>9.7353420647137447</v>
      </c>
    </row>
    <row r="3913" spans="2:2" ht="15">
      <c r="B3913" s="181">
        <v>10.459664850958781</v>
      </c>
    </row>
    <row r="3914" spans="2:2" ht="15">
      <c r="B3914" s="181">
        <v>3.0524287464113931</v>
      </c>
    </row>
    <row r="3915" spans="2:2" ht="15">
      <c r="B3915" s="181">
        <v>9.1087662870005524</v>
      </c>
    </row>
    <row r="3916" spans="2:2" ht="15">
      <c r="B3916" s="181">
        <v>8.8345520514853639</v>
      </c>
    </row>
    <row r="3917" spans="2:2" ht="15">
      <c r="B3917" s="181">
        <v>74.922654650236694</v>
      </c>
    </row>
    <row r="3918" spans="2:2" ht="15">
      <c r="B3918" s="181">
        <v>15.628768609525556</v>
      </c>
    </row>
    <row r="3919" spans="2:2" ht="15">
      <c r="B3919" s="181">
        <v>10.85989062467001</v>
      </c>
    </row>
    <row r="3920" spans="2:2" ht="15">
      <c r="B3920" s="181">
        <v>21.052032753908431</v>
      </c>
    </row>
    <row r="3921" spans="2:2" ht="15">
      <c r="B3921" s="181">
        <v>16.956734875158261</v>
      </c>
    </row>
    <row r="3922" spans="2:2" ht="15">
      <c r="B3922" s="181">
        <v>10.387724779756727</v>
      </c>
    </row>
    <row r="3923" spans="2:2" ht="15">
      <c r="B3923" s="181">
        <v>22.341211558316285</v>
      </c>
    </row>
    <row r="3924" spans="2:2" ht="15">
      <c r="B3924" s="181">
        <v>7.2618436548450092</v>
      </c>
    </row>
    <row r="3925" spans="2:2" ht="15">
      <c r="B3925" s="181">
        <v>29.901028977700726</v>
      </c>
    </row>
    <row r="3926" spans="2:2" ht="15">
      <c r="B3926" s="181">
        <v>11.055608149620969</v>
      </c>
    </row>
    <row r="3927" spans="2:2" ht="15">
      <c r="B3927" s="181">
        <v>9.0294471560823446</v>
      </c>
    </row>
    <row r="3928" spans="2:2" ht="15">
      <c r="B3928" s="181">
        <v>8.8114721212591629</v>
      </c>
    </row>
    <row r="3929" spans="2:2" ht="15">
      <c r="B3929" s="181">
        <v>20.579843124523972</v>
      </c>
    </row>
    <row r="3930" spans="2:2" ht="15">
      <c r="B3930" s="181">
        <v>6.2744446490380907</v>
      </c>
    </row>
    <row r="3931" spans="2:2" ht="15">
      <c r="B3931" s="181">
        <v>22.752582815451223</v>
      </c>
    </row>
    <row r="3932" spans="2:2" ht="15">
      <c r="B3932" s="181">
        <v>2.7907170768131317</v>
      </c>
    </row>
    <row r="3933" spans="2:2" ht="15">
      <c r="B3933" s="181">
        <v>11.855459804159084</v>
      </c>
    </row>
    <row r="3934" spans="2:2" ht="15">
      <c r="B3934" s="181">
        <v>9.0061906148246873</v>
      </c>
    </row>
    <row r="3935" spans="2:2" ht="15">
      <c r="B3935" s="181">
        <v>97.786185623961373</v>
      </c>
    </row>
    <row r="3936" spans="2:2" ht="15">
      <c r="B3936" s="181">
        <v>16.835993264516389</v>
      </c>
    </row>
    <row r="3937" spans="2:2" ht="15">
      <c r="B3937" s="181">
        <v>9.6480128387273751</v>
      </c>
    </row>
    <row r="3938" spans="2:2" ht="15">
      <c r="B3938" s="181">
        <v>3.6828311556822304</v>
      </c>
    </row>
    <row r="3939" spans="2:2" ht="15">
      <c r="B3939" s="181">
        <v>43.665840668567682</v>
      </c>
    </row>
    <row r="3940" spans="2:2" ht="15">
      <c r="B3940" s="181">
        <v>5.1450895024305794</v>
      </c>
    </row>
    <row r="3941" spans="2:2" ht="15">
      <c r="B3941" s="181">
        <v>14.329494623960244</v>
      </c>
    </row>
    <row r="3942" spans="2:2" ht="15">
      <c r="B3942" s="181">
        <v>3.7595189116947658</v>
      </c>
    </row>
    <row r="3943" spans="2:2" ht="15">
      <c r="B3943" s="181">
        <v>13.617684245861803</v>
      </c>
    </row>
    <row r="3944" spans="2:2" ht="15">
      <c r="B3944" s="181">
        <v>26.895052552203914</v>
      </c>
    </row>
    <row r="3945" spans="2:2" ht="15">
      <c r="B3945" s="181">
        <v>14.213785137622111</v>
      </c>
    </row>
    <row r="3946" spans="2:2" ht="15">
      <c r="B3946" s="181">
        <v>24.46338886543467</v>
      </c>
    </row>
    <row r="3947" spans="2:2" ht="15">
      <c r="B3947" s="181">
        <v>17.562853463777639</v>
      </c>
    </row>
    <row r="3948" spans="2:2" ht="15">
      <c r="B3948" s="181">
        <v>9.9455117347749997</v>
      </c>
    </row>
    <row r="3949" spans="2:2" ht="15">
      <c r="B3949" s="181">
        <v>10.122996935316184</v>
      </c>
    </row>
    <row r="3950" spans="2:2" ht="15">
      <c r="B3950" s="181">
        <v>17.435494448417813</v>
      </c>
    </row>
    <row r="3951" spans="2:2" ht="15">
      <c r="B3951" s="181">
        <v>12.927074196906688</v>
      </c>
    </row>
    <row r="3952" spans="2:2" ht="15">
      <c r="B3952" s="181">
        <v>23.909872483063509</v>
      </c>
    </row>
    <row r="3953" spans="2:2" ht="15">
      <c r="B3953" s="181">
        <v>27.287744683201378</v>
      </c>
    </row>
    <row r="3954" spans="2:2" ht="15">
      <c r="B3954" s="181">
        <v>25.849791785510767</v>
      </c>
    </row>
    <row r="3955" spans="2:2" ht="15">
      <c r="B3955" s="181">
        <v>9.0832050892664018</v>
      </c>
    </row>
    <row r="3956" spans="2:2" ht="15">
      <c r="B3956" s="181">
        <v>11.329203066589479</v>
      </c>
    </row>
    <row r="3957" spans="2:2" ht="15">
      <c r="B3957" s="181">
        <v>18.303732398553347</v>
      </c>
    </row>
    <row r="3958" spans="2:2" ht="15">
      <c r="B3958" s="181">
        <v>16.328263584992598</v>
      </c>
    </row>
    <row r="3959" spans="2:2" ht="15">
      <c r="B3959" s="181">
        <v>5.3202883415285775</v>
      </c>
    </row>
    <row r="3960" spans="2:2" ht="15">
      <c r="B3960" s="181">
        <v>25.174484978752115</v>
      </c>
    </row>
    <row r="3961" spans="2:2" ht="15">
      <c r="B3961" s="181">
        <v>10.462608813302909</v>
      </c>
    </row>
    <row r="3962" spans="2:2" ht="15">
      <c r="B3962" s="181">
        <v>6.545653386061514</v>
      </c>
    </row>
    <row r="3963" spans="2:2" ht="15">
      <c r="B3963" s="181">
        <v>19.324766975258459</v>
      </c>
    </row>
    <row r="3964" spans="2:2" ht="15">
      <c r="B3964" s="181">
        <v>29.606642259114604</v>
      </c>
    </row>
    <row r="3965" spans="2:2" ht="15">
      <c r="B3965" s="181">
        <v>18.561028059182568</v>
      </c>
    </row>
    <row r="3966" spans="2:2" ht="15">
      <c r="B3966" s="181">
        <v>22.97794746435639</v>
      </c>
    </row>
    <row r="3967" spans="2:2" ht="15">
      <c r="B3967" s="181">
        <v>20.622248186809358</v>
      </c>
    </row>
    <row r="3968" spans="2:2" ht="15">
      <c r="B3968" s="181">
        <v>45.66279623873158</v>
      </c>
    </row>
    <row r="3969" spans="2:2" ht="15">
      <c r="B3969" s="181">
        <v>19.946225636037695</v>
      </c>
    </row>
    <row r="3970" spans="2:2" ht="15">
      <c r="B3970" s="181">
        <v>21.936531797224792</v>
      </c>
    </row>
    <row r="3971" spans="2:2" ht="15">
      <c r="B3971" s="181">
        <v>45.062390988581775</v>
      </c>
    </row>
    <row r="3972" spans="2:2" ht="15">
      <c r="B3972" s="181">
        <v>25.948136424364872</v>
      </c>
    </row>
    <row r="3973" spans="2:2" ht="15">
      <c r="B3973" s="181">
        <v>25.316196837646665</v>
      </c>
    </row>
    <row r="3974" spans="2:2" ht="15">
      <c r="B3974" s="181">
        <v>19.465712439810726</v>
      </c>
    </row>
    <row r="3975" spans="2:2" ht="15">
      <c r="B3975" s="181">
        <v>6.8898957122049689</v>
      </c>
    </row>
    <row r="3976" spans="2:2" ht="15">
      <c r="B3976" s="181">
        <v>29.366392904922083</v>
      </c>
    </row>
    <row r="3977" spans="2:2" ht="15">
      <c r="B3977" s="181">
        <v>16.791420637578444</v>
      </c>
    </row>
    <row r="3978" spans="2:2" ht="15">
      <c r="B3978" s="181">
        <v>18.640133080517497</v>
      </c>
    </row>
    <row r="3979" spans="2:2" ht="15">
      <c r="B3979" s="181">
        <v>36.396306450911489</v>
      </c>
    </row>
    <row r="3980" spans="2:2" ht="15">
      <c r="B3980" s="181">
        <v>45.362725645795877</v>
      </c>
    </row>
    <row r="3981" spans="2:2" ht="15">
      <c r="B3981" s="181">
        <v>47.520824349230274</v>
      </c>
    </row>
    <row r="3982" spans="2:2" ht="15">
      <c r="B3982" s="181">
        <v>32.873283040010662</v>
      </c>
    </row>
    <row r="3983" spans="2:2" ht="15">
      <c r="B3983" s="181">
        <v>19.570867837831411</v>
      </c>
    </row>
    <row r="3984" spans="2:2" ht="15">
      <c r="B3984" s="181">
        <v>14.546673438962015</v>
      </c>
    </row>
    <row r="3985" spans="2:2" ht="15">
      <c r="B3985" s="181">
        <v>19.868418941570781</v>
      </c>
    </row>
    <row r="3986" spans="2:2" ht="15">
      <c r="B3986" s="181">
        <v>5.1239143971923466</v>
      </c>
    </row>
    <row r="3987" spans="2:2" ht="15">
      <c r="B3987" s="181">
        <v>22.229083809746957</v>
      </c>
    </row>
    <row r="3988" spans="2:2" ht="15">
      <c r="B3988" s="181">
        <v>34.346875442872253</v>
      </c>
    </row>
    <row r="3989" spans="2:2" ht="15">
      <c r="B3989" s="181">
        <v>10.750956592630711</v>
      </c>
    </row>
    <row r="3990" spans="2:2" ht="15">
      <c r="B3990" s="181">
        <v>46.569567188701946</v>
      </c>
    </row>
    <row r="3991" spans="2:2" ht="15">
      <c r="B3991" s="181">
        <v>15.391016095667858</v>
      </c>
    </row>
    <row r="3992" spans="2:2" ht="15">
      <c r="B3992" s="181">
        <v>15.271487689135657</v>
      </c>
    </row>
    <row r="3993" spans="2:2" ht="15">
      <c r="B3993" s="181">
        <v>5.4138816167871244</v>
      </c>
    </row>
    <row r="3994" spans="2:2" ht="15">
      <c r="B3994" s="181">
        <v>29.001474957511924</v>
      </c>
    </row>
    <row r="3995" spans="2:2" ht="15">
      <c r="B3995" s="181">
        <v>10.358135742123485</v>
      </c>
    </row>
    <row r="3996" spans="2:2" ht="15">
      <c r="B3996" s="181">
        <v>17.938490370623668</v>
      </c>
    </row>
    <row r="3997" spans="2:2" ht="15">
      <c r="B3997" s="181">
        <v>29.434619739208021</v>
      </c>
    </row>
    <row r="3998" spans="2:2" ht="15">
      <c r="B3998" s="181">
        <v>7.7598392994900953</v>
      </c>
    </row>
    <row r="3999" spans="2:2" ht="15">
      <c r="B3999" s="181">
        <v>23.378891287185951</v>
      </c>
    </row>
    <row r="4000" spans="2:2" ht="15">
      <c r="B4000" s="181">
        <v>21.521649969925821</v>
      </c>
    </row>
    <row r="4001" spans="2:2" ht="15">
      <c r="B4001" s="181">
        <v>13.559237828129893</v>
      </c>
    </row>
    <row r="4002" spans="2:2" ht="15">
      <c r="B4002" s="181">
        <v>14.273503445139131</v>
      </c>
    </row>
    <row r="4003" spans="2:2" ht="15">
      <c r="B4003" s="181">
        <v>5.6413788993720333</v>
      </c>
    </row>
    <row r="4004" spans="2:2" ht="15">
      <c r="B4004" s="181">
        <v>18.770043269015556</v>
      </c>
    </row>
    <row r="4005" spans="2:2" ht="15">
      <c r="B4005" s="181">
        <v>13.826683524338589</v>
      </c>
    </row>
    <row r="4006" spans="2:2" ht="15">
      <c r="B4006" s="181">
        <v>22.141643169906711</v>
      </c>
    </row>
    <row r="4007" spans="2:2" ht="15">
      <c r="B4007" s="181">
        <v>37.896434497846144</v>
      </c>
    </row>
    <row r="4008" spans="2:2" ht="15">
      <c r="B4008" s="181">
        <v>21.210647406867068</v>
      </c>
    </row>
    <row r="4009" spans="2:2" ht="15">
      <c r="B4009" s="181">
        <v>15.81755904383804</v>
      </c>
    </row>
    <row r="4010" spans="2:2" ht="15">
      <c r="B4010" s="181">
        <v>11.844650486014672</v>
      </c>
    </row>
    <row r="4011" spans="2:2" ht="15">
      <c r="B4011" s="181">
        <v>6.58453985127632</v>
      </c>
    </row>
    <row r="4012" spans="2:2" ht="15">
      <c r="B4012" s="181">
        <v>19.84116129949178</v>
      </c>
    </row>
    <row r="4013" spans="2:2" ht="15">
      <c r="B4013" s="181">
        <v>15.301476064552809</v>
      </c>
    </row>
    <row r="4014" spans="2:2" ht="15">
      <c r="B4014" s="181">
        <v>27.043100985423344</v>
      </c>
    </row>
    <row r="4015" spans="2:2" ht="15">
      <c r="B4015" s="181">
        <v>51.974435288307646</v>
      </c>
    </row>
    <row r="4016" spans="2:2" ht="15">
      <c r="B4016" s="181">
        <v>15.007946339651197</v>
      </c>
    </row>
    <row r="4017" spans="2:2" ht="15">
      <c r="B4017" s="181">
        <v>16.768440305302999</v>
      </c>
    </row>
    <row r="4018" spans="2:2" ht="15">
      <c r="B4018" s="181">
        <v>9.007792149972957</v>
      </c>
    </row>
    <row r="4019" spans="2:2" ht="15">
      <c r="B4019" s="181">
        <v>17.603911432752579</v>
      </c>
    </row>
    <row r="4020" spans="2:2" ht="15">
      <c r="B4020" s="181">
        <v>23.409489262056301</v>
      </c>
    </row>
    <row r="4021" spans="2:2" ht="15">
      <c r="B4021" s="181">
        <v>31.186512528179971</v>
      </c>
    </row>
    <row r="4022" spans="2:2" ht="15">
      <c r="B4022" s="181">
        <v>18.077603560690569</v>
      </c>
    </row>
    <row r="4023" spans="2:2" ht="15">
      <c r="B4023" s="181">
        <v>14.309022553370735</v>
      </c>
    </row>
    <row r="4024" spans="2:2" ht="15">
      <c r="B4024" s="181">
        <v>9.8273003857614967</v>
      </c>
    </row>
    <row r="4025" spans="2:2" ht="15">
      <c r="B4025" s="181">
        <v>18.187863969647882</v>
      </c>
    </row>
    <row r="4026" spans="2:2" ht="15">
      <c r="B4026" s="181">
        <v>11.548753816516747</v>
      </c>
    </row>
    <row r="4027" spans="2:2" ht="15">
      <c r="B4027" s="181">
        <v>18.475606228075002</v>
      </c>
    </row>
    <row r="4028" spans="2:2" ht="15">
      <c r="B4028" s="181">
        <v>9.8035982526925682</v>
      </c>
    </row>
    <row r="4029" spans="2:2" ht="15">
      <c r="B4029" s="181">
        <v>18.749769972177518</v>
      </c>
    </row>
    <row r="4030" spans="2:2" ht="15">
      <c r="B4030" s="181">
        <v>26.099437897958854</v>
      </c>
    </row>
    <row r="4031" spans="2:2" ht="15">
      <c r="B4031" s="181">
        <v>11.324032368779124</v>
      </c>
    </row>
    <row r="4032" spans="2:2" ht="15">
      <c r="B4032" s="181">
        <v>18.028947641522937</v>
      </c>
    </row>
    <row r="4033" spans="2:2" ht="15">
      <c r="B4033" s="181">
        <v>18.526750563676682</v>
      </c>
    </row>
    <row r="4034" spans="2:2" ht="15">
      <c r="B4034" s="181">
        <v>6.3405095331641235</v>
      </c>
    </row>
    <row r="4035" spans="2:2" ht="15">
      <c r="B4035" s="181">
        <v>14.731230192570715</v>
      </c>
    </row>
    <row r="4036" spans="2:2" ht="15">
      <c r="B4036" s="181">
        <v>20.486828055120473</v>
      </c>
    </row>
    <row r="4037" spans="2:2" ht="15">
      <c r="B4037" s="181">
        <v>31.224190990637048</v>
      </c>
    </row>
    <row r="4038" spans="2:2" ht="15">
      <c r="B4038" s="181">
        <v>24.11013878454019</v>
      </c>
    </row>
    <row r="4039" spans="2:2" ht="15">
      <c r="B4039" s="181">
        <v>18.271253903567995</v>
      </c>
    </row>
    <row r="4040" spans="2:2" ht="15">
      <c r="B4040" s="181">
        <v>20.013690248767457</v>
      </c>
    </row>
    <row r="4041" spans="2:2" ht="15">
      <c r="B4041" s="181">
        <v>11.86376064887259</v>
      </c>
    </row>
    <row r="4042" spans="2:2" ht="15">
      <c r="B4042" s="181">
        <v>28.9009238207015</v>
      </c>
    </row>
    <row r="4043" spans="2:2" ht="15">
      <c r="B4043" s="181">
        <v>23.339414566809612</v>
      </c>
    </row>
    <row r="4044" spans="2:2" ht="15">
      <c r="B4044" s="181">
        <v>25.206177872009413</v>
      </c>
    </row>
    <row r="4045" spans="2:2" ht="15">
      <c r="B4045" s="181">
        <v>18.001329597337229</v>
      </c>
    </row>
    <row r="4046" spans="2:2" ht="15">
      <c r="B4046" s="181">
        <v>37.602289161159412</v>
      </c>
    </row>
    <row r="4047" spans="2:2" ht="15">
      <c r="B4047" s="181">
        <v>12.167397983721848</v>
      </c>
    </row>
    <row r="4048" spans="2:2" ht="15">
      <c r="B4048" s="181">
        <v>26.416284803893888</v>
      </c>
    </row>
    <row r="4049" spans="2:2" ht="15">
      <c r="B4049" s="181">
        <v>10.28200624213093</v>
      </c>
    </row>
    <row r="4050" spans="2:2" ht="15">
      <c r="B4050" s="181">
        <v>11.670353099153777</v>
      </c>
    </row>
    <row r="4051" spans="2:2" ht="15">
      <c r="B4051" s="181">
        <v>9.4677768320070559</v>
      </c>
    </row>
    <row r="4052" spans="2:2" ht="15">
      <c r="B4052" s="181">
        <v>17.532645466761267</v>
      </c>
    </row>
    <row r="4053" spans="2:2" ht="15">
      <c r="B4053" s="181">
        <v>11.620967157614299</v>
      </c>
    </row>
    <row r="4054" spans="2:2" ht="15">
      <c r="B4054" s="181">
        <v>8.447565459427155</v>
      </c>
    </row>
    <row r="4055" spans="2:2" ht="15">
      <c r="B4055" s="181">
        <v>15.590433023677022</v>
      </c>
    </row>
    <row r="4056" spans="2:2" ht="15">
      <c r="B4056" s="181">
        <v>17.403739725878129</v>
      </c>
    </row>
    <row r="4057" spans="2:2" ht="15">
      <c r="B4057" s="181">
        <v>27.813361210433719</v>
      </c>
    </row>
    <row r="4058" spans="2:2" ht="15">
      <c r="B4058" s="181">
        <v>18.819283306903341</v>
      </c>
    </row>
    <row r="4059" spans="2:2" ht="15">
      <c r="B4059" s="181">
        <v>33.615122323045838</v>
      </c>
    </row>
    <row r="4060" spans="2:2" ht="15">
      <c r="B4060" s="181">
        <v>22.980002521947416</v>
      </c>
    </row>
    <row r="4061" spans="2:2" ht="15">
      <c r="B4061" s="181">
        <v>29.327189642597549</v>
      </c>
    </row>
    <row r="4062" spans="2:2" ht="15">
      <c r="B4062" s="181">
        <v>23.370528409008745</v>
      </c>
    </row>
    <row r="4063" spans="2:2" ht="15">
      <c r="B4063" s="181">
        <v>7.7660482260120283</v>
      </c>
    </row>
    <row r="4064" spans="2:2" ht="15">
      <c r="B4064" s="181">
        <v>8.8051602355943981</v>
      </c>
    </row>
    <row r="4065" spans="2:2" ht="15">
      <c r="B4065" s="181">
        <v>13.662541454403776</v>
      </c>
    </row>
    <row r="4066" spans="2:2" ht="15">
      <c r="B4066" s="181">
        <v>53.281664109029599</v>
      </c>
    </row>
    <row r="4067" spans="2:2" ht="15">
      <c r="B4067" s="181">
        <v>22.44772085972356</v>
      </c>
    </row>
    <row r="4068" spans="2:2" ht="15">
      <c r="B4068" s="181">
        <v>14.315629534263604</v>
      </c>
    </row>
    <row r="4069" spans="2:2" ht="15">
      <c r="B4069" s="181">
        <v>26.859341165932378</v>
      </c>
    </row>
    <row r="4070" spans="2:2" ht="15">
      <c r="B4070" s="181">
        <v>25.114013369397533</v>
      </c>
    </row>
    <row r="4071" spans="2:2" ht="15">
      <c r="B4071" s="181">
        <v>17.215878728526022</v>
      </c>
    </row>
    <row r="4072" spans="2:2" ht="15">
      <c r="B4072" s="181">
        <v>11.59016703338917</v>
      </c>
    </row>
    <row r="4073" spans="2:2" ht="15">
      <c r="B4073" s="181">
        <v>6.7221665205103314</v>
      </c>
    </row>
    <row r="4074" spans="2:2" ht="15">
      <c r="B4074" s="181">
        <v>21.732242047010935</v>
      </c>
    </row>
    <row r="4075" spans="2:2" ht="15">
      <c r="B4075" s="181">
        <v>6.7674775428999956</v>
      </c>
    </row>
    <row r="4076" spans="2:2" ht="15">
      <c r="B4076" s="181">
        <v>22.915103568910911</v>
      </c>
    </row>
    <row r="4077" spans="2:2" ht="15">
      <c r="B4077" s="181">
        <v>13.205436330027464</v>
      </c>
    </row>
    <row r="4078" spans="2:2" ht="15">
      <c r="B4078" s="181">
        <v>25.801506531728489</v>
      </c>
    </row>
    <row r="4079" spans="2:2" ht="15">
      <c r="B4079" s="181">
        <v>21.980701951608889</v>
      </c>
    </row>
    <row r="4080" spans="2:2" ht="15">
      <c r="B4080" s="181">
        <v>16.553765560372774</v>
      </c>
    </row>
    <row r="4081" spans="2:2" ht="15">
      <c r="B4081" s="181">
        <v>25.743432000442183</v>
      </c>
    </row>
    <row r="4082" spans="2:2" ht="15">
      <c r="B4082" s="181">
        <v>23.982184272303009</v>
      </c>
    </row>
    <row r="4083" spans="2:2" ht="15">
      <c r="B4083" s="181">
        <v>25.246409561316295</v>
      </c>
    </row>
    <row r="4084" spans="2:2" ht="15">
      <c r="B4084" s="181">
        <v>13.348671646621215</v>
      </c>
    </row>
    <row r="4085" spans="2:2" ht="15">
      <c r="B4085" s="181">
        <v>6.9341813043876641</v>
      </c>
    </row>
    <row r="4086" spans="2:2" ht="15">
      <c r="B4086" s="181">
        <v>14.649618135898509</v>
      </c>
    </row>
    <row r="4087" spans="2:2" ht="15">
      <c r="B4087" s="181">
        <v>26.001572987889077</v>
      </c>
    </row>
    <row r="4088" spans="2:2" ht="15">
      <c r="B4088" s="181">
        <v>21.952003709903266</v>
      </c>
    </row>
    <row r="4089" spans="2:2" ht="15">
      <c r="B4089" s="181">
        <v>22.296825802494347</v>
      </c>
    </row>
    <row r="4090" spans="2:2" ht="15">
      <c r="B4090" s="181">
        <v>22.926972121720201</v>
      </c>
    </row>
    <row r="4091" spans="2:2" ht="15">
      <c r="B4091" s="181">
        <v>16.42745563738255</v>
      </c>
    </row>
    <row r="4092" spans="2:2" ht="15">
      <c r="B4092" s="181">
        <v>12.120394789192082</v>
      </c>
    </row>
    <row r="4093" spans="2:2" ht="15">
      <c r="B4093" s="181">
        <v>24.959072855938707</v>
      </c>
    </row>
    <row r="4094" spans="2:2" ht="15">
      <c r="B4094" s="181">
        <v>29.068890905539128</v>
      </c>
    </row>
    <row r="4095" spans="2:2" ht="15">
      <c r="B4095" s="181">
        <v>71.456520925560113</v>
      </c>
    </row>
    <row r="4096" spans="2:2" ht="15">
      <c r="B4096" s="181">
        <v>14.966810948466287</v>
      </c>
    </row>
    <row r="4097" spans="2:2" ht="15">
      <c r="B4097" s="181">
        <v>30.994966090380615</v>
      </c>
    </row>
    <row r="4098" spans="2:2" ht="15">
      <c r="B4098" s="181">
        <v>15.650572348190526</v>
      </c>
    </row>
    <row r="4099" spans="2:2" ht="15">
      <c r="B4099" s="181">
        <v>16.599527941620348</v>
      </c>
    </row>
    <row r="4100" spans="2:2" ht="15">
      <c r="B4100" s="181">
        <v>7.1436437632142535</v>
      </c>
    </row>
    <row r="4101" spans="2:2" ht="15">
      <c r="B4101" s="181">
        <v>10.060740989632059</v>
      </c>
    </row>
    <row r="4102" spans="2:2" ht="15">
      <c r="B4102" s="181">
        <v>21.768529729806694</v>
      </c>
    </row>
    <row r="4103" spans="2:2" ht="15">
      <c r="B4103" s="181">
        <v>32.949042925348124</v>
      </c>
    </row>
    <row r="4104" spans="2:2" ht="15">
      <c r="B4104" s="181">
        <v>41.197733111283497</v>
      </c>
    </row>
    <row r="4105" spans="2:2" ht="15">
      <c r="B4105" s="181">
        <v>20.830947640988423</v>
      </c>
    </row>
    <row r="4106" spans="2:2" ht="15">
      <c r="B4106" s="181">
        <v>18.473115627430513</v>
      </c>
    </row>
    <row r="4107" spans="2:2" ht="15">
      <c r="B4107" s="181">
        <v>32.304963583360255</v>
      </c>
    </row>
    <row r="4108" spans="2:2" ht="15">
      <c r="B4108" s="181">
        <v>23.161505643526148</v>
      </c>
    </row>
    <row r="4109" spans="2:2" ht="15">
      <c r="B4109" s="181">
        <v>35.056942792594022</v>
      </c>
    </row>
    <row r="4110" spans="2:2" ht="15">
      <c r="B4110" s="181">
        <v>7.4297449128129696</v>
      </c>
    </row>
    <row r="4111" spans="2:2" ht="15">
      <c r="B4111" s="181">
        <v>10.835503220616546</v>
      </c>
    </row>
    <row r="4112" spans="2:2" ht="15">
      <c r="B4112" s="181">
        <v>19.595715340514342</v>
      </c>
    </row>
    <row r="4113" spans="2:2" ht="15">
      <c r="B4113" s="181">
        <v>17.586683812332701</v>
      </c>
    </row>
    <row r="4114" spans="2:2" ht="15">
      <c r="B4114" s="181">
        <v>16.714674852718044</v>
      </c>
    </row>
    <row r="4115" spans="2:2" ht="15">
      <c r="B4115" s="181">
        <v>11.731164742015473</v>
      </c>
    </row>
    <row r="4116" spans="2:2" ht="15">
      <c r="B4116" s="181">
        <v>21.166929481433801</v>
      </c>
    </row>
    <row r="4117" spans="2:2" ht="15">
      <c r="B4117" s="181">
        <v>15.091599860277395</v>
      </c>
    </row>
    <row r="4118" spans="2:2" ht="15">
      <c r="B4118" s="181">
        <v>6.3187244646772394</v>
      </c>
    </row>
    <row r="4119" spans="2:2" ht="15">
      <c r="B4119" s="181">
        <v>18.310894118007472</v>
      </c>
    </row>
    <row r="4120" spans="2:2" ht="15">
      <c r="B4120" s="181">
        <v>15.59714881150733</v>
      </c>
    </row>
    <row r="4121" spans="2:2" ht="15">
      <c r="B4121" s="181">
        <v>5.8095458129450641</v>
      </c>
    </row>
    <row r="4122" spans="2:2" ht="15">
      <c r="B4122" s="181">
        <v>16.472462207693493</v>
      </c>
    </row>
    <row r="4123" spans="2:2" ht="15">
      <c r="B4123" s="181">
        <v>21.142238130991988</v>
      </c>
    </row>
    <row r="4124" spans="2:2" ht="15">
      <c r="B4124" s="181">
        <v>12.18791667784066</v>
      </c>
    </row>
    <row r="4125" spans="2:2" ht="15">
      <c r="B4125" s="181">
        <v>17.063368027615546</v>
      </c>
    </row>
    <row r="4126" spans="2:2" ht="15">
      <c r="B4126" s="181">
        <v>28.626864996774543</v>
      </c>
    </row>
    <row r="4127" spans="2:2" ht="15">
      <c r="B4127" s="181">
        <v>21.920112180297536</v>
      </c>
    </row>
    <row r="4128" spans="2:2" ht="15">
      <c r="B4128" s="181">
        <v>15.864974545734388</v>
      </c>
    </row>
    <row r="4129" spans="2:2" ht="15">
      <c r="B4129" s="181">
        <v>31.282717896211768</v>
      </c>
    </row>
    <row r="4130" spans="2:2" ht="15">
      <c r="B4130" s="181">
        <v>21.689776329792434</v>
      </c>
    </row>
    <row r="4131" spans="2:2" ht="15">
      <c r="B4131" s="181">
        <v>17.265431482951964</v>
      </c>
    </row>
    <row r="4132" spans="2:2" ht="15">
      <c r="B4132" s="181">
        <v>29.891374144632763</v>
      </c>
    </row>
    <row r="4133" spans="2:2" ht="15">
      <c r="B4133" s="181">
        <v>21.634368949483946</v>
      </c>
    </row>
    <row r="4134" spans="2:2" ht="15">
      <c r="B4134" s="181">
        <v>16.148498282783645</v>
      </c>
    </row>
    <row r="4135" spans="2:2" ht="15">
      <c r="B4135" s="181">
        <v>7.6120945116356395</v>
      </c>
    </row>
    <row r="4136" spans="2:2" ht="15">
      <c r="B4136" s="181">
        <v>14.220137418684608</v>
      </c>
    </row>
    <row r="4137" spans="2:2" ht="15">
      <c r="B4137" s="181">
        <v>15.481485859750181</v>
      </c>
    </row>
    <row r="4138" spans="2:2" ht="15">
      <c r="B4138" s="181">
        <v>19.183749424798748</v>
      </c>
    </row>
    <row r="4139" spans="2:2" ht="15">
      <c r="B4139" s="181">
        <v>8.3513736057391839</v>
      </c>
    </row>
    <row r="4140" spans="2:2" ht="15">
      <c r="B4140" s="181">
        <v>68.443939561502845</v>
      </c>
    </row>
    <row r="4141" spans="2:2" ht="15">
      <c r="B4141" s="181">
        <v>11.585904450488288</v>
      </c>
    </row>
    <row r="4142" spans="2:2" ht="15">
      <c r="B4142" s="181">
        <v>22.52343197586416</v>
      </c>
    </row>
    <row r="4143" spans="2:2" ht="15">
      <c r="B4143" s="181">
        <v>27.616113433994432</v>
      </c>
    </row>
    <row r="4144" spans="2:2" ht="15">
      <c r="B4144" s="181">
        <v>29.14093984658227</v>
      </c>
    </row>
    <row r="4145" spans="2:2" ht="15">
      <c r="B4145" s="181">
        <v>27.393479808453609</v>
      </c>
    </row>
    <row r="4146" spans="2:2" ht="15">
      <c r="B4146" s="181">
        <v>9.6455275364808184</v>
      </c>
    </row>
    <row r="4147" spans="2:2" ht="15">
      <c r="B4147" s="181">
        <v>14.909786079812962</v>
      </c>
    </row>
    <row r="4148" spans="2:2" ht="15">
      <c r="B4148" s="181">
        <v>38.913754635670202</v>
      </c>
    </row>
    <row r="4149" spans="2:2" ht="15">
      <c r="B4149" s="181">
        <v>44.454289236514619</v>
      </c>
    </row>
    <row r="4150" spans="2:2" ht="15">
      <c r="B4150" s="181">
        <v>10.757379370631423</v>
      </c>
    </row>
    <row r="4151" spans="2:2" ht="15">
      <c r="B4151" s="181">
        <v>44.500862438584114</v>
      </c>
    </row>
    <row r="4152" spans="2:2" ht="15">
      <c r="B4152" s="181">
        <v>16.579635363100017</v>
      </c>
    </row>
    <row r="4153" spans="2:2" ht="15">
      <c r="B4153" s="181">
        <v>80.829913100109707</v>
      </c>
    </row>
    <row r="4154" spans="2:2" ht="15">
      <c r="B4154" s="181">
        <v>10.572230578646007</v>
      </c>
    </row>
    <row r="4155" spans="2:2" ht="15">
      <c r="B4155" s="181">
        <v>12.592253742927589</v>
      </c>
    </row>
    <row r="4156" spans="2:2" ht="15">
      <c r="B4156" s="181">
        <v>16.076216917517449</v>
      </c>
    </row>
    <row r="4157" spans="2:2" ht="15">
      <c r="B4157" s="181">
        <v>28.939897177914442</v>
      </c>
    </row>
    <row r="4158" spans="2:2" ht="15">
      <c r="B4158" s="181">
        <v>28.205176980476232</v>
      </c>
    </row>
    <row r="4159" spans="2:2" ht="15">
      <c r="B4159" s="181">
        <v>11.153839546923335</v>
      </c>
    </row>
    <row r="4160" spans="2:2" ht="15">
      <c r="B4160" s="181">
        <v>14.299834883739782</v>
      </c>
    </row>
    <row r="4161" spans="2:2" ht="15">
      <c r="B4161" s="181">
        <v>16.934222695321555</v>
      </c>
    </row>
    <row r="4162" spans="2:2" ht="15">
      <c r="B4162" s="181">
        <v>53.93352732481609</v>
      </c>
    </row>
    <row r="4163" spans="2:2" ht="15">
      <c r="B4163" s="181">
        <v>13.086745402095287</v>
      </c>
    </row>
    <row r="4164" spans="2:2" ht="15">
      <c r="B4164" s="181">
        <v>14.84113119755194</v>
      </c>
    </row>
    <row r="4165" spans="2:2" ht="15">
      <c r="B4165" s="181">
        <v>10.605474908071109</v>
      </c>
    </row>
    <row r="4166" spans="2:2" ht="15">
      <c r="B4166" s="181">
        <v>36.297215543422283</v>
      </c>
    </row>
    <row r="4167" spans="2:2" ht="15">
      <c r="B4167" s="181">
        <v>12.146697271540004</v>
      </c>
    </row>
    <row r="4168" spans="2:2" ht="15">
      <c r="B4168" s="181">
        <v>14.712382882107679</v>
      </c>
    </row>
    <row r="4169" spans="2:2" ht="15">
      <c r="B4169" s="181">
        <v>11.453789266919154</v>
      </c>
    </row>
    <row r="4170" spans="2:2" ht="15">
      <c r="B4170" s="181">
        <v>10.679699832716581</v>
      </c>
    </row>
    <row r="4171" spans="2:2" ht="15">
      <c r="B4171" s="181">
        <v>28.621353121492728</v>
      </c>
    </row>
    <row r="4172" spans="2:2" ht="15">
      <c r="B4172" s="181">
        <v>22.376656290102286</v>
      </c>
    </row>
    <row r="4173" spans="2:2" ht="15">
      <c r="B4173" s="181">
        <v>21.87998814913259</v>
      </c>
    </row>
    <row r="4174" spans="2:2" ht="15">
      <c r="B4174" s="181">
        <v>12.673717376154023</v>
      </c>
    </row>
    <row r="4175" spans="2:2" ht="15">
      <c r="B4175" s="181">
        <v>44.548132419740988</v>
      </c>
    </row>
    <row r="4176" spans="2:2" ht="15">
      <c r="B4176" s="181">
        <v>12.409524050834655</v>
      </c>
    </row>
    <row r="4177" spans="2:2" ht="15">
      <c r="B4177" s="181">
        <v>31.250496207668697</v>
      </c>
    </row>
    <row r="4178" spans="2:2" ht="15">
      <c r="B4178" s="181">
        <v>69.068078356730965</v>
      </c>
    </row>
    <row r="4179" spans="2:2" ht="15">
      <c r="B4179" s="181">
        <v>36.619527867865315</v>
      </c>
    </row>
    <row r="4180" spans="2:2" ht="15">
      <c r="B4180" s="181">
        <v>31.446919632391747</v>
      </c>
    </row>
    <row r="4181" spans="2:2" ht="15">
      <c r="B4181" s="181">
        <v>13.74569171084185</v>
      </c>
    </row>
    <row r="4182" spans="2:2" ht="15">
      <c r="B4182" s="181">
        <v>8.6942704837452069</v>
      </c>
    </row>
    <row r="4183" spans="2:2" ht="15">
      <c r="B4183" s="181">
        <v>49.954173545917676</v>
      </c>
    </row>
    <row r="4184" spans="2:2" ht="15">
      <c r="B4184" s="181">
        <v>42.837084229775044</v>
      </c>
    </row>
    <row r="4185" spans="2:2" ht="15">
      <c r="B4185" s="181">
        <v>34.560509631048262</v>
      </c>
    </row>
    <row r="4186" spans="2:2" ht="15">
      <c r="B4186" s="181">
        <v>4.912116447786631</v>
      </c>
    </row>
    <row r="4187" spans="2:2" ht="15">
      <c r="B4187" s="181">
        <v>16.139085289520832</v>
      </c>
    </row>
    <row r="4188" spans="2:2" ht="15">
      <c r="B4188" s="181">
        <v>14.872730249975222</v>
      </c>
    </row>
    <row r="4189" spans="2:2" ht="15">
      <c r="B4189" s="181">
        <v>13.799822333430832</v>
      </c>
    </row>
    <row r="4190" spans="2:2" ht="15">
      <c r="B4190" s="181">
        <v>14.199263556129891</v>
      </c>
    </row>
    <row r="4191" spans="2:2" ht="15">
      <c r="B4191" s="181">
        <v>18.647216671345724</v>
      </c>
    </row>
    <row r="4192" spans="2:2" ht="15">
      <c r="B4192" s="181">
        <v>16.972251867990554</v>
      </c>
    </row>
    <row r="4193" spans="2:2" ht="15">
      <c r="B4193" s="181">
        <v>17.57607401986235</v>
      </c>
    </row>
    <row r="4194" spans="2:2" ht="15">
      <c r="B4194" s="181">
        <v>15.674069848115376</v>
      </c>
    </row>
    <row r="4195" spans="2:2" ht="15">
      <c r="B4195" s="181">
        <v>7.4244876331616254</v>
      </c>
    </row>
    <row r="4196" spans="2:2" ht="15">
      <c r="B4196" s="181">
        <v>23.263366424310529</v>
      </c>
    </row>
    <row r="4197" spans="2:2" ht="15">
      <c r="B4197" s="181">
        <v>29.220143102720922</v>
      </c>
    </row>
    <row r="4198" spans="2:2" ht="15">
      <c r="B4198" s="181">
        <v>19.444612116473291</v>
      </c>
    </row>
    <row r="4199" spans="2:2" ht="15">
      <c r="B4199" s="181">
        <v>7.6314322035506672</v>
      </c>
    </row>
    <row r="4200" spans="2:2" ht="15">
      <c r="B4200" s="181">
        <v>49.296138661780589</v>
      </c>
    </row>
    <row r="4201" spans="2:2" ht="15">
      <c r="B4201" s="181">
        <v>13.75975370098524</v>
      </c>
    </row>
    <row r="4202" spans="2:2" ht="15">
      <c r="B4202" s="181">
        <v>9.3304921167435992</v>
      </c>
    </row>
    <row r="4203" spans="2:2" ht="15">
      <c r="B4203" s="181">
        <v>14.283122797490121</v>
      </c>
    </row>
    <row r="4204" spans="2:2" ht="15">
      <c r="B4204" s="181">
        <v>26.227246186378828</v>
      </c>
    </row>
    <row r="4205" spans="2:2" ht="15">
      <c r="B4205" s="181">
        <v>19.36128979366902</v>
      </c>
    </row>
    <row r="4206" spans="2:2" ht="15">
      <c r="B4206" s="181">
        <v>33.949673140681689</v>
      </c>
    </row>
    <row r="4207" spans="2:2" ht="15">
      <c r="B4207" s="181">
        <v>14.69296446170625</v>
      </c>
    </row>
    <row r="4208" spans="2:2" ht="15">
      <c r="B4208" s="181">
        <v>4.6906064725650767</v>
      </c>
    </row>
    <row r="4209" spans="2:2" ht="15">
      <c r="B4209" s="181">
        <v>16.95264363263054</v>
      </c>
    </row>
    <row r="4210" spans="2:2" ht="15">
      <c r="B4210" s="181">
        <v>26.250093037474461</v>
      </c>
    </row>
    <row r="4211" spans="2:2" ht="15">
      <c r="B4211" s="181">
        <v>17.540071850964612</v>
      </c>
    </row>
    <row r="4212" spans="2:2" ht="15">
      <c r="B4212" s="181">
        <v>24.125310936796073</v>
      </c>
    </row>
    <row r="4213" spans="2:2" ht="15">
      <c r="B4213" s="181">
        <v>21.265728472253862</v>
      </c>
    </row>
    <row r="4214" spans="2:2" ht="15">
      <c r="B4214" s="181">
        <v>12.052455100488093</v>
      </c>
    </row>
    <row r="4215" spans="2:2" ht="15">
      <c r="B4215" s="181">
        <v>11.338116027220298</v>
      </c>
    </row>
    <row r="4216" spans="2:2" ht="15">
      <c r="B4216" s="181">
        <v>13.31036489629272</v>
      </c>
    </row>
    <row r="4217" spans="2:2" ht="15">
      <c r="B4217" s="181">
        <v>22.857773837199076</v>
      </c>
    </row>
    <row r="4218" spans="2:2" ht="15">
      <c r="B4218" s="181">
        <v>36.870172586308868</v>
      </c>
    </row>
    <row r="4219" spans="2:2" ht="15">
      <c r="B4219" s="181">
        <v>19.712639541498397</v>
      </c>
    </row>
    <row r="4220" spans="2:2" ht="15">
      <c r="B4220" s="181">
        <v>54.241647345591055</v>
      </c>
    </row>
    <row r="4221" spans="2:2" ht="15">
      <c r="B4221" s="181">
        <v>33.916164228337976</v>
      </c>
    </row>
    <row r="4222" spans="2:2" ht="15">
      <c r="B4222" s="181">
        <v>28.61721171253016</v>
      </c>
    </row>
    <row r="4223" spans="2:2" ht="15">
      <c r="B4223" s="181">
        <v>24.412496651404563</v>
      </c>
    </row>
    <row r="4224" spans="2:2" ht="15">
      <c r="B4224" s="181">
        <v>15.65847240242233</v>
      </c>
    </row>
    <row r="4225" spans="2:2" ht="15">
      <c r="B4225" s="181">
        <v>26.802538737736999</v>
      </c>
    </row>
    <row r="4226" spans="2:2" ht="15">
      <c r="B4226" s="181">
        <v>17.135345758822258</v>
      </c>
    </row>
    <row r="4227" spans="2:2" ht="15">
      <c r="B4227" s="181">
        <v>16.751571804779637</v>
      </c>
    </row>
    <row r="4228" spans="2:2" ht="15">
      <c r="B4228" s="181">
        <v>24.029869582687962</v>
      </c>
    </row>
    <row r="4229" spans="2:2" ht="15">
      <c r="B4229" s="181">
        <v>11.906145400624128</v>
      </c>
    </row>
    <row r="4230" spans="2:2" ht="15">
      <c r="B4230" s="181">
        <v>22.604086519946442</v>
      </c>
    </row>
    <row r="4231" spans="2:2" ht="15">
      <c r="B4231" s="181">
        <v>18.431697841425049</v>
      </c>
    </row>
    <row r="4232" spans="2:2" ht="15">
      <c r="B4232" s="181">
        <v>18.558132776261441</v>
      </c>
    </row>
    <row r="4233" spans="2:2" ht="15">
      <c r="B4233" s="181">
        <v>31.425912814651635</v>
      </c>
    </row>
    <row r="4234" spans="2:2" ht="15">
      <c r="B4234" s="181">
        <v>20.457971281116659</v>
      </c>
    </row>
    <row r="4235" spans="2:2" ht="15">
      <c r="B4235" s="181">
        <v>25.125118804891976</v>
      </c>
    </row>
    <row r="4236" spans="2:2" ht="15">
      <c r="B4236" s="181">
        <v>6.7574260641048625</v>
      </c>
    </row>
    <row r="4237" spans="2:2" ht="15">
      <c r="B4237" s="181">
        <v>9.9897151996005267</v>
      </c>
    </row>
    <row r="4238" spans="2:2" ht="15">
      <c r="B4238" s="181">
        <v>26.633486072904631</v>
      </c>
    </row>
    <row r="4239" spans="2:2" ht="15">
      <c r="B4239" s="181">
        <v>7.8531572608714377</v>
      </c>
    </row>
    <row r="4240" spans="2:2" ht="15">
      <c r="B4240" s="181">
        <v>8.5355448826587264</v>
      </c>
    </row>
    <row r="4241" spans="2:2" ht="15">
      <c r="B4241" s="181">
        <v>9.0952642319044372</v>
      </c>
    </row>
    <row r="4242" spans="2:2" ht="15">
      <c r="B4242" s="181">
        <v>17.644791222957306</v>
      </c>
    </row>
    <row r="4243" spans="2:2" ht="15">
      <c r="B4243" s="181">
        <v>19.306344561095578</v>
      </c>
    </row>
    <row r="4244" spans="2:2" ht="15">
      <c r="B4244" s="181">
        <v>16.77150295857053</v>
      </c>
    </row>
    <row r="4245" spans="2:2" ht="15">
      <c r="B4245" s="181">
        <v>19.725769177109377</v>
      </c>
    </row>
    <row r="4246" spans="2:2" ht="15">
      <c r="B4246" s="181">
        <v>44.114151323465009</v>
      </c>
    </row>
    <row r="4247" spans="2:2" ht="15">
      <c r="B4247" s="181">
        <v>25.206624600440534</v>
      </c>
    </row>
    <row r="4248" spans="2:2" ht="15">
      <c r="B4248" s="181">
        <v>20.324794012505254</v>
      </c>
    </row>
    <row r="4249" spans="2:2" ht="15">
      <c r="B4249" s="181">
        <v>14.397614394576753</v>
      </c>
    </row>
    <row r="4250" spans="2:2" ht="15">
      <c r="B4250" s="181">
        <v>66.953108196168586</v>
      </c>
    </row>
    <row r="4251" spans="2:2" ht="15">
      <c r="B4251" s="181">
        <v>5.9771056692718529</v>
      </c>
    </row>
    <row r="4252" spans="2:2" ht="15">
      <c r="B4252" s="181">
        <v>17.874357369667795</v>
      </c>
    </row>
    <row r="4253" spans="2:2" ht="15">
      <c r="B4253" s="181">
        <v>20.977062414618274</v>
      </c>
    </row>
    <row r="4254" spans="2:2" ht="15">
      <c r="B4254" s="181">
        <v>48.663838051518901</v>
      </c>
    </row>
    <row r="4255" spans="2:2" ht="15">
      <c r="B4255" s="181">
        <v>24.397149190451277</v>
      </c>
    </row>
    <row r="4256" spans="2:2" ht="15">
      <c r="B4256" s="181">
        <v>13.753164854945066</v>
      </c>
    </row>
    <row r="4257" spans="2:2" ht="15">
      <c r="B4257" s="181">
        <v>31.217446282960157</v>
      </c>
    </row>
    <row r="4258" spans="2:2" ht="15">
      <c r="B4258" s="181">
        <v>20.722715418758966</v>
      </c>
    </row>
    <row r="4259" spans="2:2" ht="15">
      <c r="B4259" s="181">
        <v>32.259443228221201</v>
      </c>
    </row>
    <row r="4260" spans="2:2" ht="15">
      <c r="B4260" s="181">
        <v>11.379004657618379</v>
      </c>
    </row>
    <row r="4261" spans="2:2" ht="15">
      <c r="B4261" s="181">
        <v>32.780677564374201</v>
      </c>
    </row>
    <row r="4262" spans="2:2" ht="15">
      <c r="B4262" s="181">
        <v>14.021927270028018</v>
      </c>
    </row>
    <row r="4263" spans="2:2" ht="15">
      <c r="B4263" s="181">
        <v>9.4351652804710184</v>
      </c>
    </row>
    <row r="4264" spans="2:2" ht="15">
      <c r="B4264" s="181">
        <v>32.66201072064527</v>
      </c>
    </row>
    <row r="4265" spans="2:2" ht="15">
      <c r="B4265" s="181">
        <v>6.7465100456008686</v>
      </c>
    </row>
    <row r="4266" spans="2:2" ht="15">
      <c r="B4266" s="181">
        <v>40.813854031277501</v>
      </c>
    </row>
    <row r="4267" spans="2:2" ht="15">
      <c r="B4267" s="181">
        <v>18.164778947581524</v>
      </c>
    </row>
    <row r="4268" spans="2:2" ht="15">
      <c r="B4268" s="181">
        <v>18.751720956237197</v>
      </c>
    </row>
    <row r="4269" spans="2:2" ht="15">
      <c r="B4269" s="181">
        <v>28.197637233121011</v>
      </c>
    </row>
    <row r="4270" spans="2:2" ht="15">
      <c r="B4270" s="181">
        <v>20.564310422997817</v>
      </c>
    </row>
    <row r="4271" spans="2:2" ht="15">
      <c r="B4271" s="181">
        <v>26.27321222992374</v>
      </c>
    </row>
    <row r="4272" spans="2:2" ht="15">
      <c r="B4272" s="181">
        <v>10.586727088414115</v>
      </c>
    </row>
    <row r="4273" spans="2:2" ht="15">
      <c r="B4273" s="181">
        <v>7.7964102966356341</v>
      </c>
    </row>
    <row r="4274" spans="2:2" ht="15">
      <c r="B4274" s="181">
        <v>23.612615555240783</v>
      </c>
    </row>
    <row r="4275" spans="2:2" ht="15">
      <c r="B4275" s="181">
        <v>18.820960217306737</v>
      </c>
    </row>
    <row r="4276" spans="2:2" ht="15">
      <c r="B4276" s="181">
        <v>10.862749052284668</v>
      </c>
    </row>
    <row r="4277" spans="2:2" ht="15">
      <c r="B4277" s="181">
        <v>13.664662251113281</v>
      </c>
    </row>
    <row r="4278" spans="2:2" ht="15">
      <c r="B4278" s="181">
        <v>24.295424310654465</v>
      </c>
    </row>
    <row r="4279" spans="2:2" ht="15">
      <c r="B4279" s="181">
        <v>18.490956077458943</v>
      </c>
    </row>
    <row r="4280" spans="2:2" ht="15">
      <c r="B4280" s="181">
        <v>17.876484007713117</v>
      </c>
    </row>
    <row r="4281" spans="2:2" ht="15">
      <c r="B4281" s="181">
        <v>13.908409469722823</v>
      </c>
    </row>
    <row r="4282" spans="2:2" ht="15">
      <c r="B4282" s="181">
        <v>15.171991574613145</v>
      </c>
    </row>
    <row r="4283" spans="2:2" ht="15">
      <c r="B4283" s="181">
        <v>22.005112726787829</v>
      </c>
    </row>
    <row r="4284" spans="2:2" ht="15">
      <c r="B4284" s="181">
        <v>19.78069625553276</v>
      </c>
    </row>
    <row r="4285" spans="2:2" ht="15">
      <c r="B4285" s="181">
        <v>37.505323099816664</v>
      </c>
    </row>
    <row r="4286" spans="2:2" ht="15">
      <c r="B4286" s="181">
        <v>16.459257195366494</v>
      </c>
    </row>
    <row r="4287" spans="2:2" ht="15">
      <c r="B4287" s="181">
        <v>23.779258639552516</v>
      </c>
    </row>
    <row r="4288" spans="2:2" ht="15">
      <c r="B4288" s="181">
        <v>7.882856271065064</v>
      </c>
    </row>
    <row r="4289" spans="2:2" ht="15">
      <c r="B4289" s="181">
        <v>8.9526252488567444</v>
      </c>
    </row>
    <row r="4290" spans="2:2" ht="15">
      <c r="B4290" s="181">
        <v>16.046482231540523</v>
      </c>
    </row>
    <row r="4291" spans="2:2" ht="15">
      <c r="B4291" s="181">
        <v>19.579214562795478</v>
      </c>
    </row>
    <row r="4292" spans="2:2" ht="15">
      <c r="B4292" s="181">
        <v>12.205481410920699</v>
      </c>
    </row>
    <row r="4293" spans="2:2" ht="15">
      <c r="B4293" s="181">
        <v>12.081285402993183</v>
      </c>
    </row>
    <row r="4294" spans="2:2" ht="15">
      <c r="B4294" s="181">
        <v>22.011030248366094</v>
      </c>
    </row>
    <row r="4295" spans="2:2" ht="15">
      <c r="B4295" s="181">
        <v>25.438808004697719</v>
      </c>
    </row>
    <row r="4296" spans="2:2" ht="15">
      <c r="B4296" s="181">
        <v>33.523222847235346</v>
      </c>
    </row>
    <row r="4297" spans="2:2" ht="15">
      <c r="B4297" s="181">
        <v>42.205022967077888</v>
      </c>
    </row>
    <row r="4298" spans="2:2" ht="15">
      <c r="B4298" s="181">
        <v>18.156456755628096</v>
      </c>
    </row>
    <row r="4299" spans="2:2" ht="15">
      <c r="B4299" s="181">
        <v>35.243703754270861</v>
      </c>
    </row>
    <row r="4300" spans="2:2" ht="15">
      <c r="B4300" s="181">
        <v>14.89809254577224</v>
      </c>
    </row>
    <row r="4301" spans="2:2" ht="15">
      <c r="B4301" s="181">
        <v>16.173826095622161</v>
      </c>
    </row>
    <row r="4302" spans="2:2" ht="15">
      <c r="B4302" s="181">
        <v>27.656492388787605</v>
      </c>
    </row>
    <row r="4303" spans="2:2" ht="15">
      <c r="B4303" s="181">
        <v>24.056971207787729</v>
      </c>
    </row>
    <row r="4304" spans="2:2" ht="15">
      <c r="B4304" s="181">
        <v>15.137853559873403</v>
      </c>
    </row>
    <row r="4305" spans="2:2" ht="15">
      <c r="B4305" s="181">
        <v>6.976565586686279</v>
      </c>
    </row>
    <row r="4306" spans="2:2" ht="15">
      <c r="B4306" s="181">
        <v>8.6888312515952872</v>
      </c>
    </row>
    <row r="4307" spans="2:2" ht="15">
      <c r="B4307" s="181">
        <v>41.749145647414686</v>
      </c>
    </row>
    <row r="4308" spans="2:2" ht="15">
      <c r="B4308" s="181">
        <v>24.005196572697439</v>
      </c>
    </row>
    <row r="4309" spans="2:2" ht="15">
      <c r="B4309" s="181">
        <v>30.359917169042266</v>
      </c>
    </row>
    <row r="4310" spans="2:2" ht="15">
      <c r="B4310" s="181">
        <v>20.806687164537379</v>
      </c>
    </row>
    <row r="4311" spans="2:2" ht="15">
      <c r="B4311" s="181">
        <v>21.94878908538147</v>
      </c>
    </row>
    <row r="4312" spans="2:2" ht="15">
      <c r="B4312" s="181">
        <v>20.594895112686483</v>
      </c>
    </row>
    <row r="4313" spans="2:2" ht="15">
      <c r="B4313" s="181">
        <v>23.299515250239558</v>
      </c>
    </row>
    <row r="4314" spans="2:2" ht="15">
      <c r="B4314" s="181">
        <v>22.809044026882539</v>
      </c>
    </row>
    <row r="4315" spans="2:2" ht="15">
      <c r="B4315" s="181">
        <v>29.095482346328335</v>
      </c>
    </row>
    <row r="4316" spans="2:2" ht="15">
      <c r="B4316" s="181">
        <v>25.605265518115832</v>
      </c>
    </row>
    <row r="4317" spans="2:2" ht="15">
      <c r="B4317" s="181">
        <v>28.565369527964886</v>
      </c>
    </row>
    <row r="4318" spans="2:2" ht="15">
      <c r="B4318" s="181">
        <v>21.235895503669557</v>
      </c>
    </row>
    <row r="4319" spans="2:2" ht="15">
      <c r="B4319" s="181">
        <v>21.872886062757498</v>
      </c>
    </row>
    <row r="4320" spans="2:2" ht="15">
      <c r="B4320" s="181">
        <v>12.957580693178079</v>
      </c>
    </row>
    <row r="4321" spans="2:2" ht="15">
      <c r="B4321" s="181">
        <v>18.676973540261265</v>
      </c>
    </row>
    <row r="4322" spans="2:2" ht="15">
      <c r="B4322" s="181">
        <v>17.181264272563727</v>
      </c>
    </row>
    <row r="4323" spans="2:2" ht="15">
      <c r="B4323" s="181">
        <v>9.531060015857296</v>
      </c>
    </row>
    <row r="4324" spans="2:2" ht="15">
      <c r="B4324" s="181">
        <v>12.555608330056671</v>
      </c>
    </row>
    <row r="4325" spans="2:2" ht="15">
      <c r="B4325" s="181">
        <v>7.646316854336729</v>
      </c>
    </row>
    <row r="4326" spans="2:2" ht="15">
      <c r="B4326" s="181">
        <v>13.939147478092567</v>
      </c>
    </row>
    <row r="4327" spans="2:2" ht="15">
      <c r="B4327" s="181">
        <v>14.90976863432808</v>
      </c>
    </row>
    <row r="4328" spans="2:2" ht="15">
      <c r="B4328" s="181">
        <v>25.723853950000031</v>
      </c>
    </row>
    <row r="4329" spans="2:2" ht="15">
      <c r="B4329" s="181">
        <v>11.695976181145472</v>
      </c>
    </row>
    <row r="4330" spans="2:2" ht="15">
      <c r="B4330" s="181">
        <v>16.088286367411722</v>
      </c>
    </row>
    <row r="4331" spans="2:2" ht="15">
      <c r="B4331" s="181">
        <v>19.475806676191375</v>
      </c>
    </row>
    <row r="4332" spans="2:2" ht="15">
      <c r="B4332" s="181">
        <v>15.388014352273279</v>
      </c>
    </row>
    <row r="4333" spans="2:2" ht="15">
      <c r="B4333" s="181">
        <v>6.3087108113259616</v>
      </c>
    </row>
    <row r="4334" spans="2:2" ht="15">
      <c r="B4334" s="181">
        <v>31.486062607719987</v>
      </c>
    </row>
    <row r="4335" spans="2:2" ht="15">
      <c r="B4335" s="181">
        <v>14.654112847205083</v>
      </c>
    </row>
    <row r="4336" spans="2:2" ht="15">
      <c r="B4336" s="181">
        <v>27.620803269310237</v>
      </c>
    </row>
    <row r="4337" spans="2:2" ht="15">
      <c r="B4337" s="181">
        <v>24.005751856863803</v>
      </c>
    </row>
    <row r="4338" spans="2:2" ht="15">
      <c r="B4338" s="181">
        <v>59.477193004195165</v>
      </c>
    </row>
    <row r="4339" spans="2:2" ht="15">
      <c r="B4339" s="181">
        <v>27.325897483392851</v>
      </c>
    </row>
    <row r="4340" spans="2:2" ht="15">
      <c r="B4340" s="181">
        <v>15.96715799092973</v>
      </c>
    </row>
    <row r="4341" spans="2:2" ht="15">
      <c r="B4341" s="181">
        <v>24.580094376464562</v>
      </c>
    </row>
    <row r="4342" spans="2:2" ht="15">
      <c r="B4342" s="181">
        <v>14.143658367578517</v>
      </c>
    </row>
    <row r="4343" spans="2:2" ht="15">
      <c r="B4343" s="181">
        <v>20.341825019072303</v>
      </c>
    </row>
    <row r="4344" spans="2:2" ht="15">
      <c r="B4344" s="181">
        <v>25.058951968578743</v>
      </c>
    </row>
    <row r="4345" spans="2:2" ht="15">
      <c r="B4345" s="181">
        <v>32.131167252171942</v>
      </c>
    </row>
    <row r="4346" spans="2:2" ht="15">
      <c r="B4346" s="181">
        <v>16.506050961846164</v>
      </c>
    </row>
    <row r="4347" spans="2:2" ht="15">
      <c r="B4347" s="181">
        <v>24.792688336619129</v>
      </c>
    </row>
    <row r="4348" spans="2:2" ht="15">
      <c r="B4348" s="181">
        <v>36.817625714858544</v>
      </c>
    </row>
    <row r="4349" spans="2:2" ht="15">
      <c r="B4349" s="181">
        <v>39.577472406223919</v>
      </c>
    </row>
    <row r="4350" spans="2:2" ht="15">
      <c r="B4350" s="181">
        <v>10.255026464190797</v>
      </c>
    </row>
    <row r="4351" spans="2:2" ht="15">
      <c r="B4351" s="181">
        <v>22.178417101911876</v>
      </c>
    </row>
    <row r="4352" spans="2:2" ht="15">
      <c r="B4352" s="181">
        <v>18.299608568514181</v>
      </c>
    </row>
    <row r="4353" spans="2:2" ht="15">
      <c r="B4353" s="181">
        <v>15.98315268402264</v>
      </c>
    </row>
    <row r="4354" spans="2:2" ht="15">
      <c r="B4354" s="181">
        <v>22.594101569533727</v>
      </c>
    </row>
    <row r="4355" spans="2:2" ht="15">
      <c r="B4355" s="181">
        <v>32.438554215558291</v>
      </c>
    </row>
    <row r="4356" spans="2:2" ht="15">
      <c r="B4356" s="181">
        <v>12.80413426584918</v>
      </c>
    </row>
    <row r="4357" spans="2:2" ht="15">
      <c r="B4357" s="181">
        <v>23.293616948914661</v>
      </c>
    </row>
    <row r="4358" spans="2:2" ht="15">
      <c r="B4358" s="181">
        <v>17.167155192214697</v>
      </c>
    </row>
    <row r="4359" spans="2:2" ht="15">
      <c r="B4359" s="181">
        <v>12.327781468582</v>
      </c>
    </row>
    <row r="4360" spans="2:2" ht="15">
      <c r="B4360" s="181">
        <v>12.092890169156458</v>
      </c>
    </row>
    <row r="4361" spans="2:2" ht="15">
      <c r="B4361" s="181">
        <v>7.5407388092428231</v>
      </c>
    </row>
    <row r="4362" spans="2:2" ht="15">
      <c r="B4362" s="181">
        <v>13.017552659580584</v>
      </c>
    </row>
    <row r="4363" spans="2:2" ht="15">
      <c r="B4363" s="181">
        <v>31.976613025537784</v>
      </c>
    </row>
    <row r="4364" spans="2:2" ht="15">
      <c r="B4364" s="181">
        <v>17.244536771233204</v>
      </c>
    </row>
    <row r="4365" spans="2:2" ht="15">
      <c r="B4365" s="181">
        <v>19.354534882958159</v>
      </c>
    </row>
    <row r="4366" spans="2:2" ht="15">
      <c r="B4366" s="181">
        <v>16.418435000031746</v>
      </c>
    </row>
    <row r="4367" spans="2:2" ht="15">
      <c r="B4367" s="181">
        <v>33.578346464639168</v>
      </c>
    </row>
    <row r="4368" spans="2:2" ht="15">
      <c r="B4368" s="181">
        <v>10.953252715075751</v>
      </c>
    </row>
    <row r="4369" spans="2:2" ht="15">
      <c r="B4369" s="181">
        <v>17.554462831993373</v>
      </c>
    </row>
    <row r="4370" spans="2:2" ht="15">
      <c r="B4370" s="181">
        <v>15.291349057902336</v>
      </c>
    </row>
    <row r="4371" spans="2:2" ht="15">
      <c r="B4371" s="181">
        <v>27.59143290408241</v>
      </c>
    </row>
    <row r="4372" spans="2:2" ht="15">
      <c r="B4372" s="181">
        <v>36.297127662758534</v>
      </c>
    </row>
    <row r="4373" spans="2:2" ht="15">
      <c r="B4373" s="181">
        <v>15.69788864067244</v>
      </c>
    </row>
    <row r="4374" spans="2:2" ht="15">
      <c r="B4374" s="181">
        <v>18.168195606835816</v>
      </c>
    </row>
    <row r="4375" spans="2:2" ht="15">
      <c r="B4375" s="181">
        <v>35.798587104179042</v>
      </c>
    </row>
    <row r="4376" spans="2:2" ht="15">
      <c r="B4376" s="181">
        <v>8.8842812089533147</v>
      </c>
    </row>
    <row r="4377" spans="2:2" ht="15">
      <c r="B4377" s="181">
        <v>17.556759110472502</v>
      </c>
    </row>
    <row r="4378" spans="2:2" ht="15">
      <c r="B4378" s="181">
        <v>9.2280093861888481</v>
      </c>
    </row>
    <row r="4379" spans="2:2" ht="15">
      <c r="B4379" s="181">
        <v>22.82318628253843</v>
      </c>
    </row>
    <row r="4380" spans="2:2" ht="15">
      <c r="B4380" s="181">
        <v>10.09244140438579</v>
      </c>
    </row>
    <row r="4381" spans="2:2" ht="15">
      <c r="B4381" s="181">
        <v>13.237679388749722</v>
      </c>
    </row>
    <row r="4382" spans="2:2" ht="15">
      <c r="B4382" s="181">
        <v>15.769032892886198</v>
      </c>
    </row>
    <row r="4383" spans="2:2" ht="15">
      <c r="B4383" s="181">
        <v>17.221067320368316</v>
      </c>
    </row>
    <row r="4384" spans="2:2" ht="15">
      <c r="B4384" s="181">
        <v>10.894266363497664</v>
      </c>
    </row>
    <row r="4385" spans="2:2" ht="15">
      <c r="B4385" s="181">
        <v>11.093104077416935</v>
      </c>
    </row>
    <row r="4386" spans="2:2" ht="15">
      <c r="B4386" s="181">
        <v>20.652377470428348</v>
      </c>
    </row>
    <row r="4387" spans="2:2" ht="15">
      <c r="B4387" s="181">
        <v>14.686176319099395</v>
      </c>
    </row>
    <row r="4388" spans="2:2" ht="15">
      <c r="B4388" s="181">
        <v>12.112213593479096</v>
      </c>
    </row>
    <row r="4389" spans="2:2" ht="15">
      <c r="B4389" s="181">
        <v>10.11781168086236</v>
      </c>
    </row>
    <row r="4390" spans="2:2" ht="15">
      <c r="B4390" s="181">
        <v>13.810131980058637</v>
      </c>
    </row>
    <row r="4391" spans="2:2" ht="15">
      <c r="B4391" s="181">
        <v>26.469990208429927</v>
      </c>
    </row>
    <row r="4392" spans="2:2" ht="15">
      <c r="B4392" s="181">
        <v>22.798456719374617</v>
      </c>
    </row>
    <row r="4393" spans="2:2" ht="15">
      <c r="B4393" s="181">
        <v>12.388185805871881</v>
      </c>
    </row>
    <row r="4394" spans="2:2" ht="15">
      <c r="B4394" s="181">
        <v>26.166189586624345</v>
      </c>
    </row>
    <row r="4395" spans="2:2" ht="15">
      <c r="B4395" s="181">
        <v>14.830671191888387</v>
      </c>
    </row>
    <row r="4396" spans="2:2" ht="15">
      <c r="B4396" s="181">
        <v>9.1420744682104917</v>
      </c>
    </row>
    <row r="4397" spans="2:2" ht="15">
      <c r="B4397" s="181">
        <v>31.331957810268808</v>
      </c>
    </row>
    <row r="4398" spans="2:2" ht="15">
      <c r="B4398" s="181">
        <v>7.8428318613335009</v>
      </c>
    </row>
    <row r="4399" spans="2:2" ht="15">
      <c r="B4399" s="181">
        <v>24.901616094788629</v>
      </c>
    </row>
    <row r="4400" spans="2:2" ht="15">
      <c r="B4400" s="181">
        <v>13.223293290782291</v>
      </c>
    </row>
    <row r="4401" spans="2:2" ht="15">
      <c r="B4401" s="181">
        <v>22.473679340389619</v>
      </c>
    </row>
    <row r="4402" spans="2:2" ht="15">
      <c r="B4402" s="181">
        <v>13.317004093052708</v>
      </c>
    </row>
    <row r="4403" spans="2:2" ht="15">
      <c r="B4403" s="181">
        <v>33.245305927896148</v>
      </c>
    </row>
    <row r="4404" spans="2:2" ht="15">
      <c r="B4404" s="181">
        <v>12.655630297227109</v>
      </c>
    </row>
    <row r="4405" spans="2:2" ht="15">
      <c r="B4405" s="181">
        <v>12.349125049447846</v>
      </c>
    </row>
    <row r="4406" spans="2:2" ht="15">
      <c r="B4406" s="181">
        <v>9.77935284614429</v>
      </c>
    </row>
    <row r="4407" spans="2:2" ht="15">
      <c r="B4407" s="181">
        <v>37.826591114169275</v>
      </c>
    </row>
    <row r="4408" spans="2:2" ht="15">
      <c r="B4408" s="181">
        <v>15.58477402067432</v>
      </c>
    </row>
    <row r="4409" spans="2:2" ht="15">
      <c r="B4409" s="181">
        <v>12.757601492796852</v>
      </c>
    </row>
    <row r="4410" spans="2:2" ht="15">
      <c r="B4410" s="181">
        <v>38.38952916398685</v>
      </c>
    </row>
    <row r="4411" spans="2:2" ht="15">
      <c r="B4411" s="181">
        <v>17.26001516092937</v>
      </c>
    </row>
    <row r="4412" spans="2:2" ht="15">
      <c r="B4412" s="181">
        <v>37.902275377586058</v>
      </c>
    </row>
    <row r="4413" spans="2:2" ht="15">
      <c r="B4413" s="181">
        <v>7.1775723997416945</v>
      </c>
    </row>
    <row r="4414" spans="2:2" ht="15">
      <c r="B4414" s="181">
        <v>25.166761545013653</v>
      </c>
    </row>
    <row r="4415" spans="2:2" ht="15">
      <c r="B4415" s="181">
        <v>62.796924552307829</v>
      </c>
    </row>
    <row r="4416" spans="2:2" ht="15">
      <c r="B4416" s="181">
        <v>19.983535198384207</v>
      </c>
    </row>
    <row r="4417" spans="2:2" ht="15">
      <c r="B4417" s="181">
        <v>21.303463817405987</v>
      </c>
    </row>
    <row r="4418" spans="2:2" ht="15">
      <c r="B4418" s="181">
        <v>11.354149733141133</v>
      </c>
    </row>
    <row r="4419" spans="2:2" ht="15">
      <c r="B4419" s="181">
        <v>12.211552078069163</v>
      </c>
    </row>
    <row r="4420" spans="2:2" ht="15">
      <c r="B4420" s="181">
        <v>12.511866773843916</v>
      </c>
    </row>
    <row r="4421" spans="2:2" ht="15">
      <c r="B4421" s="181">
        <v>3.8137134133058579</v>
      </c>
    </row>
    <row r="4422" spans="2:2" ht="15">
      <c r="B4422" s="181">
        <v>9.4968835469411648</v>
      </c>
    </row>
    <row r="4423" spans="2:2" ht="15">
      <c r="B4423" s="181">
        <v>22.183445058280441</v>
      </c>
    </row>
    <row r="4424" spans="2:2" ht="15">
      <c r="B4424" s="181">
        <v>15.536379861492199</v>
      </c>
    </row>
    <row r="4425" spans="2:2" ht="15">
      <c r="B4425" s="181">
        <v>8.8686635500824451</v>
      </c>
    </row>
    <row r="4426" spans="2:2" ht="15">
      <c r="B4426" s="181">
        <v>5.726567038382834</v>
      </c>
    </row>
    <row r="4427" spans="2:2" ht="15">
      <c r="B4427" s="181">
        <v>29.549700456102585</v>
      </c>
    </row>
    <row r="4428" spans="2:2" ht="15">
      <c r="B4428" s="181">
        <v>6.3796104772628874</v>
      </c>
    </row>
    <row r="4429" spans="2:2" ht="15">
      <c r="B4429" s="181">
        <v>18.308532778071896</v>
      </c>
    </row>
    <row r="4430" spans="2:2" ht="15">
      <c r="B4430" s="181">
        <v>37.29027836981917</v>
      </c>
    </row>
    <row r="4431" spans="2:2" ht="15">
      <c r="B4431" s="181">
        <v>13.530266162684669</v>
      </c>
    </row>
    <row r="4432" spans="2:2" ht="15">
      <c r="B4432" s="181">
        <v>12.197932286028163</v>
      </c>
    </row>
    <row r="4433" spans="2:2" ht="15">
      <c r="B4433" s="181">
        <v>3.6722546703931331</v>
      </c>
    </row>
    <row r="4434" spans="2:2" ht="15">
      <c r="B4434" s="181">
        <v>9.070825642036894</v>
      </c>
    </row>
    <row r="4435" spans="2:2" ht="15">
      <c r="B4435" s="181">
        <v>17.131132805570946</v>
      </c>
    </row>
    <row r="4436" spans="2:2" ht="15">
      <c r="B4436" s="181">
        <v>21.496337954666974</v>
      </c>
    </row>
    <row r="4437" spans="2:2" ht="15">
      <c r="B4437" s="181">
        <v>6.3968564338063514</v>
      </c>
    </row>
    <row r="4438" spans="2:2" ht="15">
      <c r="B4438" s="181">
        <v>13.762737326904752</v>
      </c>
    </row>
    <row r="4439" spans="2:2" ht="15">
      <c r="B4439" s="181">
        <v>55.648098615443338</v>
      </c>
    </row>
    <row r="4440" spans="2:2" ht="15">
      <c r="B4440" s="181">
        <v>29.515097692485792</v>
      </c>
    </row>
    <row r="4441" spans="2:2" ht="15">
      <c r="B4441" s="181">
        <v>9.4153164007910632</v>
      </c>
    </row>
    <row r="4442" spans="2:2" ht="15">
      <c r="B4442" s="181">
        <v>16.318195631971111</v>
      </c>
    </row>
    <row r="4443" spans="2:2" ht="15">
      <c r="B4443" s="181">
        <v>10.53678782333909</v>
      </c>
    </row>
    <row r="4444" spans="2:2" ht="15">
      <c r="B4444" s="181">
        <v>7.7900959053989336</v>
      </c>
    </row>
    <row r="4445" spans="2:2" ht="15">
      <c r="B4445" s="181">
        <v>11.420432857805709</v>
      </c>
    </row>
    <row r="4446" spans="2:2" ht="15">
      <c r="B4446" s="181">
        <v>12.210758615385849</v>
      </c>
    </row>
    <row r="4447" spans="2:2" ht="15">
      <c r="B4447" s="181">
        <v>13.553950548550073</v>
      </c>
    </row>
    <row r="4448" spans="2:2" ht="15">
      <c r="B4448" s="181">
        <v>19.356217794456008</v>
      </c>
    </row>
    <row r="4449" spans="2:2" ht="15">
      <c r="B4449" s="181">
        <v>15.440788659548739</v>
      </c>
    </row>
    <row r="4450" spans="2:2" ht="15">
      <c r="B4450" s="181">
        <v>8.4671548856041294</v>
      </c>
    </row>
    <row r="4451" spans="2:2" ht="15">
      <c r="B4451" s="181">
        <v>38.690437728126014</v>
      </c>
    </row>
    <row r="4452" spans="2:2" ht="15">
      <c r="B4452" s="181">
        <v>8.4629762059051643</v>
      </c>
    </row>
    <row r="4453" spans="2:2" ht="15">
      <c r="B4453" s="181">
        <v>19.012331099825911</v>
      </c>
    </row>
    <row r="4454" spans="2:2" ht="15">
      <c r="B4454" s="181">
        <v>4.6665700942063442</v>
      </c>
    </row>
    <row r="4455" spans="2:2" ht="15">
      <c r="B4455" s="181">
        <v>28.7239391090136</v>
      </c>
    </row>
    <row r="4456" spans="2:2" ht="15">
      <c r="B4456" s="181">
        <v>7.7412975997846525</v>
      </c>
    </row>
    <row r="4457" spans="2:2" ht="15">
      <c r="B4457" s="181">
        <v>13.846971143297601</v>
      </c>
    </row>
    <row r="4458" spans="2:2" ht="15">
      <c r="B4458" s="181">
        <v>41.912813935570185</v>
      </c>
    </row>
    <row r="4459" spans="2:2" ht="15">
      <c r="B4459" s="181">
        <v>7.5134831453184265</v>
      </c>
    </row>
    <row r="4460" spans="2:2" ht="15">
      <c r="B4460" s="181">
        <v>20.071690806605911</v>
      </c>
    </row>
    <row r="4461" spans="2:2" ht="15">
      <c r="B4461" s="181">
        <v>44.074547751697366</v>
      </c>
    </row>
    <row r="4462" spans="2:2" ht="15">
      <c r="B4462" s="181">
        <v>14.143280096120327</v>
      </c>
    </row>
    <row r="4463" spans="2:2" ht="15">
      <c r="B4463" s="181">
        <v>21.552508618933789</v>
      </c>
    </row>
    <row r="4464" spans="2:2" ht="15">
      <c r="B4464" s="181">
        <v>40.144452310558009</v>
      </c>
    </row>
    <row r="4465" spans="2:2" ht="15">
      <c r="B4465" s="181">
        <v>28.648987450563137</v>
      </c>
    </row>
    <row r="4466" spans="2:2" ht="15">
      <c r="B4466" s="181">
        <v>26.986089865652517</v>
      </c>
    </row>
    <row r="4467" spans="2:2" ht="15">
      <c r="B4467" s="181">
        <v>28.796567056176315</v>
      </c>
    </row>
    <row r="4468" spans="2:2" ht="15">
      <c r="B4468" s="181">
        <v>40.328967823501756</v>
      </c>
    </row>
    <row r="4469" spans="2:2" ht="15">
      <c r="B4469" s="181">
        <v>19.959806405291594</v>
      </c>
    </row>
    <row r="4470" spans="2:2" ht="15">
      <c r="B4470" s="181">
        <v>35.058794465929658</v>
      </c>
    </row>
    <row r="4471" spans="2:2" ht="15">
      <c r="B4471" s="181">
        <v>20.907066899062663</v>
      </c>
    </row>
    <row r="4472" spans="2:2" ht="15">
      <c r="B4472" s="181">
        <v>13.466852435003336</v>
      </c>
    </row>
    <row r="4473" spans="2:2" ht="15">
      <c r="B4473" s="181">
        <v>10.781261887519722</v>
      </c>
    </row>
    <row r="4474" spans="2:2" ht="15">
      <c r="B4474" s="181">
        <v>20.721445145740084</v>
      </c>
    </row>
    <row r="4475" spans="2:2" ht="15">
      <c r="B4475" s="181">
        <v>6.0696544803178138</v>
      </c>
    </row>
    <row r="4476" spans="2:2" ht="15">
      <c r="B4476" s="181">
        <v>17.659363032296984</v>
      </c>
    </row>
    <row r="4477" spans="2:2" ht="15">
      <c r="B4477" s="181">
        <v>16.71609913647405</v>
      </c>
    </row>
    <row r="4478" spans="2:2" ht="15">
      <c r="B4478" s="181">
        <v>31.87309876547468</v>
      </c>
    </row>
    <row r="4479" spans="2:2" ht="15">
      <c r="B4479" s="181">
        <v>2.757916938103659</v>
      </c>
    </row>
    <row r="4480" spans="2:2" ht="15">
      <c r="B4480" s="181">
        <v>15.616217091871361</v>
      </c>
    </row>
    <row r="4481" spans="2:2" ht="15">
      <c r="B4481" s="181">
        <v>23.548348565829453</v>
      </c>
    </row>
    <row r="4482" spans="2:2" ht="15">
      <c r="B4482" s="181">
        <v>5.2041743539167502</v>
      </c>
    </row>
    <row r="4483" spans="2:2" ht="15">
      <c r="B4483" s="181">
        <v>10.730999079363016</v>
      </c>
    </row>
    <row r="4484" spans="2:2" ht="15">
      <c r="B4484" s="181">
        <v>17.649354326999614</v>
      </c>
    </row>
    <row r="4485" spans="2:2" ht="15">
      <c r="B4485" s="181">
        <v>23.475667459062731</v>
      </c>
    </row>
    <row r="4486" spans="2:2" ht="15">
      <c r="B4486" s="181">
        <v>33.769719443841282</v>
      </c>
    </row>
    <row r="4487" spans="2:2" ht="15">
      <c r="B4487" s="181">
        <v>32.332657376228518</v>
      </c>
    </row>
    <row r="4488" spans="2:2" ht="15">
      <c r="B4488" s="181">
        <v>21.789793757718556</v>
      </c>
    </row>
    <row r="4489" spans="2:2" ht="15">
      <c r="B4489" s="181">
        <v>10.035730947709148</v>
      </c>
    </row>
    <row r="4490" spans="2:2" ht="15">
      <c r="B4490" s="181">
        <v>18.087816816793357</v>
      </c>
    </row>
    <row r="4491" spans="2:2" ht="15">
      <c r="B4491" s="181">
        <v>61.568383220920772</v>
      </c>
    </row>
    <row r="4492" spans="2:2" ht="15">
      <c r="B4492" s="181">
        <v>40.667025317720231</v>
      </c>
    </row>
    <row r="4493" spans="2:2" ht="15">
      <c r="B4493" s="181">
        <v>21.337150675712937</v>
      </c>
    </row>
    <row r="4494" spans="2:2" ht="15">
      <c r="B4494" s="181">
        <v>14.116378658425118</v>
      </c>
    </row>
    <row r="4495" spans="2:2" ht="15">
      <c r="B4495" s="181">
        <v>5.2951147829411189</v>
      </c>
    </row>
    <row r="4496" spans="2:2" ht="15">
      <c r="B4496" s="181">
        <v>8.3742138415521499</v>
      </c>
    </row>
    <row r="4497" spans="2:2" ht="15">
      <c r="B4497" s="181">
        <v>12.45861783260291</v>
      </c>
    </row>
    <row r="4498" spans="2:2" ht="15">
      <c r="B4498" s="181">
        <v>23.342450117097204</v>
      </c>
    </row>
    <row r="4499" spans="2:2" ht="15">
      <c r="B4499" s="181">
        <v>33.27302699141444</v>
      </c>
    </row>
    <row r="4500" spans="2:2" ht="15">
      <c r="B4500" s="181">
        <v>25.010612258615662</v>
      </c>
    </row>
    <row r="4501" spans="2:2" ht="15">
      <c r="B4501" s="181">
        <v>9.4428995869559227</v>
      </c>
    </row>
    <row r="4502" spans="2:2" ht="15">
      <c r="B4502" s="181">
        <v>22.557693433762559</v>
      </c>
    </row>
    <row r="4503" spans="2:2" ht="15">
      <c r="B4503" s="181">
        <v>23.965019334089181</v>
      </c>
    </row>
    <row r="4504" spans="2:2" ht="15">
      <c r="B4504" s="181">
        <v>25.595991652570376</v>
      </c>
    </row>
    <row r="4505" spans="2:2" ht="15">
      <c r="B4505" s="181">
        <v>14.94459878041144</v>
      </c>
    </row>
    <row r="4506" spans="2:2" ht="15">
      <c r="B4506" s="181">
        <v>31.468637313248834</v>
      </c>
    </row>
    <row r="4507" spans="2:2" ht="15">
      <c r="B4507" s="181">
        <v>6.2642853248475596</v>
      </c>
    </row>
    <row r="4508" spans="2:2" ht="15">
      <c r="B4508" s="181">
        <v>18.663640805766651</v>
      </c>
    </row>
    <row r="4509" spans="2:2" ht="15">
      <c r="B4509" s="181">
        <v>38.041377104730678</v>
      </c>
    </row>
    <row r="4510" spans="2:2" ht="15">
      <c r="B4510" s="181">
        <v>11.056511870653253</v>
      </c>
    </row>
    <row r="4511" spans="2:2" ht="15">
      <c r="B4511" s="181">
        <v>11.908880725356653</v>
      </c>
    </row>
    <row r="4512" spans="2:2" ht="15">
      <c r="B4512" s="181">
        <v>16.641047622379986</v>
      </c>
    </row>
    <row r="4513" spans="2:2" ht="15">
      <c r="B4513" s="181">
        <v>13.994141523261629</v>
      </c>
    </row>
    <row r="4514" spans="2:2" ht="15">
      <c r="B4514" s="181">
        <v>13.83764734684995</v>
      </c>
    </row>
    <row r="4515" spans="2:2" ht="15">
      <c r="B4515" s="181">
        <v>39.306491297697271</v>
      </c>
    </row>
    <row r="4516" spans="2:2" ht="15">
      <c r="B4516" s="181">
        <v>15.087215103406264</v>
      </c>
    </row>
    <row r="4517" spans="2:2" ht="15">
      <c r="B4517" s="181">
        <v>7.6128622018669754</v>
      </c>
    </row>
    <row r="4518" spans="2:2" ht="15">
      <c r="B4518" s="181">
        <v>12.453152602135646</v>
      </c>
    </row>
    <row r="4519" spans="2:2" ht="15">
      <c r="B4519" s="181">
        <v>30.7784076889129</v>
      </c>
    </row>
    <row r="4520" spans="2:2" ht="15">
      <c r="B4520" s="181">
        <v>35.053780480013501</v>
      </c>
    </row>
    <row r="4521" spans="2:2" ht="15">
      <c r="B4521" s="181">
        <v>14.176281594752732</v>
      </c>
    </row>
    <row r="4522" spans="2:2" ht="15">
      <c r="B4522" s="181">
        <v>28.944103855299847</v>
      </c>
    </row>
    <row r="4523" spans="2:2" ht="15">
      <c r="B4523" s="181">
        <v>17.976000470675519</v>
      </c>
    </row>
    <row r="4524" spans="2:2" ht="15">
      <c r="B4524" s="181">
        <v>19.405016986533742</v>
      </c>
    </row>
    <row r="4525" spans="2:2" ht="15">
      <c r="B4525" s="181">
        <v>35.508851481238914</v>
      </c>
    </row>
    <row r="4526" spans="2:2" ht="15">
      <c r="B4526" s="181">
        <v>13.80866519895554</v>
      </c>
    </row>
    <row r="4527" spans="2:2" ht="15">
      <c r="B4527" s="181">
        <v>8.5625737974572864</v>
      </c>
    </row>
    <row r="4528" spans="2:2" ht="15">
      <c r="B4528" s="181">
        <v>25.873644883520292</v>
      </c>
    </row>
    <row r="4529" spans="2:2" ht="15">
      <c r="B4529" s="181">
        <v>25.367574097279377</v>
      </c>
    </row>
    <row r="4530" spans="2:2" ht="15">
      <c r="B4530" s="181">
        <v>24.711441982063093</v>
      </c>
    </row>
    <row r="4531" spans="2:2" ht="15">
      <c r="B4531" s="181">
        <v>21.763836410650718</v>
      </c>
    </row>
    <row r="4532" spans="2:2" ht="15">
      <c r="B4532" s="181">
        <v>16.259434161132674</v>
      </c>
    </row>
    <row r="4533" spans="2:2" ht="15">
      <c r="B4533" s="181">
        <v>26.041560295153236</v>
      </c>
    </row>
    <row r="4534" spans="2:2" ht="15">
      <c r="B4534" s="181">
        <v>47.144188072823631</v>
      </c>
    </row>
    <row r="4535" spans="2:2" ht="15">
      <c r="B4535" s="181">
        <v>19.365901630005013</v>
      </c>
    </row>
    <row r="4536" spans="2:2" ht="15">
      <c r="B4536" s="181">
        <v>6.5747269468374157</v>
      </c>
    </row>
    <row r="4537" spans="2:2" ht="15">
      <c r="B4537" s="181">
        <v>34.14129125884228</v>
      </c>
    </row>
    <row r="4538" spans="2:2" ht="15">
      <c r="B4538" s="181">
        <v>23.009087701622967</v>
      </c>
    </row>
    <row r="4539" spans="2:2" ht="15">
      <c r="B4539" s="181">
        <v>23.503276863405375</v>
      </c>
    </row>
    <row r="4540" spans="2:2" ht="15">
      <c r="B4540" s="181">
        <v>10.469881679927999</v>
      </c>
    </row>
    <row r="4541" spans="2:2" ht="15">
      <c r="B4541" s="181">
        <v>20.816969926713245</v>
      </c>
    </row>
    <row r="4542" spans="2:2" ht="15">
      <c r="B4542" s="181">
        <v>34.360591287105464</v>
      </c>
    </row>
    <row r="4543" spans="2:2" ht="15">
      <c r="B4543" s="181">
        <v>18.4549510022261</v>
      </c>
    </row>
    <row r="4544" spans="2:2" ht="15">
      <c r="B4544" s="181">
        <v>20.118697688957159</v>
      </c>
    </row>
    <row r="4545" spans="2:2" ht="15">
      <c r="B4545" s="181">
        <v>8.4750327768784501</v>
      </c>
    </row>
    <row r="4546" spans="2:2" ht="15">
      <c r="B4546" s="181">
        <v>32.699993581783865</v>
      </c>
    </row>
    <row r="4547" spans="2:2" ht="15">
      <c r="B4547" s="181">
        <v>31.317792604487416</v>
      </c>
    </row>
    <row r="4548" spans="2:2" ht="15">
      <c r="B4548" s="181">
        <v>21.092109806450548</v>
      </c>
    </row>
    <row r="4549" spans="2:2" ht="15">
      <c r="B4549" s="181">
        <v>20.346880927371572</v>
      </c>
    </row>
    <row r="4550" spans="2:2" ht="15">
      <c r="B4550" s="181">
        <v>17.708182412011382</v>
      </c>
    </row>
    <row r="4551" spans="2:2" ht="15">
      <c r="B4551" s="181">
        <v>7.3481686888660525</v>
      </c>
    </row>
    <row r="4552" spans="2:2" ht="15">
      <c r="B4552" s="181">
        <v>30.379568977030925</v>
      </c>
    </row>
    <row r="4553" spans="2:2" ht="15">
      <c r="B4553" s="181">
        <v>16.432086402003701</v>
      </c>
    </row>
    <row r="4554" spans="2:2" ht="15">
      <c r="B4554" s="181">
        <v>29.923612837126708</v>
      </c>
    </row>
    <row r="4555" spans="2:2" ht="15">
      <c r="B4555" s="181">
        <v>9.8830313714523257</v>
      </c>
    </row>
    <row r="4556" spans="2:2" ht="15">
      <c r="B4556" s="181">
        <v>15.920614043339379</v>
      </c>
    </row>
    <row r="4557" spans="2:2" ht="15">
      <c r="B4557" s="181">
        <v>20.22511502369856</v>
      </c>
    </row>
    <row r="4558" spans="2:2" ht="15">
      <c r="B4558" s="181">
        <v>55.221048718256668</v>
      </c>
    </row>
    <row r="4559" spans="2:2" ht="15">
      <c r="B4559" s="181">
        <v>7.5266005079922307</v>
      </c>
    </row>
    <row r="4560" spans="2:2" ht="15">
      <c r="B4560" s="181">
        <v>44.464351178447721</v>
      </c>
    </row>
    <row r="4561" spans="2:2" ht="15">
      <c r="B4561" s="181">
        <v>11.657958824693557</v>
      </c>
    </row>
    <row r="4562" spans="2:2" ht="15">
      <c r="B4562" s="181">
        <v>15.47684642867838</v>
      </c>
    </row>
    <row r="4563" spans="2:2" ht="15">
      <c r="B4563" s="181">
        <v>17.23415043245156</v>
      </c>
    </row>
    <row r="4564" spans="2:2" ht="15">
      <c r="B4564" s="181">
        <v>31.241082666145036</v>
      </c>
    </row>
    <row r="4565" spans="2:2" ht="15">
      <c r="B4565" s="181">
        <v>20.249419092446288</v>
      </c>
    </row>
    <row r="4566" spans="2:2" ht="15">
      <c r="B4566" s="181">
        <v>11.590684794352127</v>
      </c>
    </row>
    <row r="4567" spans="2:2" ht="15">
      <c r="B4567" s="181">
        <v>16.369469650462186</v>
      </c>
    </row>
    <row r="4568" spans="2:2" ht="15">
      <c r="B4568" s="181">
        <v>14.730561293773206</v>
      </c>
    </row>
    <row r="4569" spans="2:2" ht="15">
      <c r="B4569" s="181">
        <v>29.826891692592341</v>
      </c>
    </row>
    <row r="4570" spans="2:2" ht="15">
      <c r="B4570" s="181">
        <v>18.47497878343524</v>
      </c>
    </row>
    <row r="4571" spans="2:2" ht="15">
      <c r="B4571" s="181">
        <v>26.40288920606535</v>
      </c>
    </row>
    <row r="4572" spans="2:2" ht="15">
      <c r="B4572" s="181">
        <v>38.10731375595892</v>
      </c>
    </row>
    <row r="4573" spans="2:2" ht="15">
      <c r="B4573" s="181">
        <v>35.911372395227978</v>
      </c>
    </row>
    <row r="4574" spans="2:2" ht="15">
      <c r="B4574" s="181">
        <v>16.146257707804601</v>
      </c>
    </row>
    <row r="4575" spans="2:2" ht="15">
      <c r="B4575" s="181">
        <v>19.82693726362174</v>
      </c>
    </row>
    <row r="4576" spans="2:2" ht="15">
      <c r="B4576" s="181">
        <v>18.093903545763837</v>
      </c>
    </row>
    <row r="4577" spans="2:2" ht="15">
      <c r="B4577" s="181">
        <v>22.505548927408672</v>
      </c>
    </row>
    <row r="4578" spans="2:2" ht="15">
      <c r="B4578" s="181">
        <v>12.610225700547865</v>
      </c>
    </row>
    <row r="4579" spans="2:2" ht="15">
      <c r="B4579" s="181">
        <v>32.352206447023534</v>
      </c>
    </row>
    <row r="4580" spans="2:2" ht="15">
      <c r="B4580" s="181">
        <v>34.964062105064045</v>
      </c>
    </row>
    <row r="4581" spans="2:2" ht="15">
      <c r="B4581" s="181">
        <v>17.266074663914377</v>
      </c>
    </row>
    <row r="4582" spans="2:2" ht="15">
      <c r="B4582" s="181">
        <v>10.002623703909823</v>
      </c>
    </row>
    <row r="4583" spans="2:2" ht="15">
      <c r="B4583" s="181">
        <v>23.096535206948293</v>
      </c>
    </row>
    <row r="4584" spans="2:2" ht="15">
      <c r="B4584" s="181">
        <v>13.248863344589532</v>
      </c>
    </row>
    <row r="4585" spans="2:2" ht="15">
      <c r="B4585" s="181">
        <v>27.992495808571224</v>
      </c>
    </row>
    <row r="4586" spans="2:2" ht="15">
      <c r="B4586" s="181">
        <v>31.161110161036227</v>
      </c>
    </row>
    <row r="4587" spans="2:2" ht="15">
      <c r="B4587" s="181">
        <v>21.406629680647999</v>
      </c>
    </row>
    <row r="4588" spans="2:2" ht="15">
      <c r="B4588" s="181">
        <v>14.688105507121252</v>
      </c>
    </row>
    <row r="4589" spans="2:2" ht="15">
      <c r="B4589" s="181">
        <v>21.922670234302714</v>
      </c>
    </row>
    <row r="4590" spans="2:2" ht="15">
      <c r="B4590" s="181">
        <v>16.763470431930202</v>
      </c>
    </row>
    <row r="4591" spans="2:2" ht="15">
      <c r="B4591" s="181">
        <v>11.753403664760242</v>
      </c>
    </row>
    <row r="4592" spans="2:2" ht="15">
      <c r="B4592" s="181">
        <v>3.8610382123048299</v>
      </c>
    </row>
    <row r="4593" spans="2:2" ht="15">
      <c r="B4593" s="181">
        <v>16.069053772733849</v>
      </c>
    </row>
    <row r="4594" spans="2:2" ht="15">
      <c r="B4594" s="181">
        <v>10.974408601062693</v>
      </c>
    </row>
    <row r="4595" spans="2:2" ht="15">
      <c r="B4595" s="181">
        <v>10.126296010372396</v>
      </c>
    </row>
    <row r="4596" spans="2:2" ht="15">
      <c r="B4596" s="181">
        <v>17.111434017844552</v>
      </c>
    </row>
    <row r="4597" spans="2:2" ht="15">
      <c r="B4597" s="181">
        <v>11.426005121584412</v>
      </c>
    </row>
    <row r="4598" spans="2:2" ht="15">
      <c r="B4598" s="181">
        <v>22.226314679670121</v>
      </c>
    </row>
    <row r="4599" spans="2:2" ht="15">
      <c r="B4599" s="181">
        <v>21.276032334565048</v>
      </c>
    </row>
    <row r="4600" spans="2:2" ht="15">
      <c r="B4600" s="181">
        <v>16.881784370865518</v>
      </c>
    </row>
    <row r="4601" spans="2:2" ht="15">
      <c r="B4601" s="181">
        <v>5.61958216652868</v>
      </c>
    </row>
    <row r="4602" spans="2:2" ht="15">
      <c r="B4602" s="181">
        <v>12.132938973110905</v>
      </c>
    </row>
    <row r="4603" spans="2:2" ht="15">
      <c r="B4603" s="181">
        <v>15.339120534412539</v>
      </c>
    </row>
    <row r="4604" spans="2:2" ht="15">
      <c r="B4604" s="181">
        <v>40.814836128465437</v>
      </c>
    </row>
    <row r="4605" spans="2:2" ht="15">
      <c r="B4605" s="181">
        <v>16.032229178676509</v>
      </c>
    </row>
    <row r="4606" spans="2:2" ht="15">
      <c r="B4606" s="181">
        <v>22.012662532588877</v>
      </c>
    </row>
    <row r="4607" spans="2:2" ht="15">
      <c r="B4607" s="181">
        <v>23.771226189836561</v>
      </c>
    </row>
    <row r="4608" spans="2:2" ht="15">
      <c r="B4608" s="181">
        <v>15.39625956962351</v>
      </c>
    </row>
    <row r="4609" spans="2:2" ht="15">
      <c r="B4609" s="181">
        <v>17.152197693557881</v>
      </c>
    </row>
    <row r="4610" spans="2:2" ht="15">
      <c r="B4610" s="181">
        <v>20.692775884970644</v>
      </c>
    </row>
    <row r="4611" spans="2:2" ht="15">
      <c r="B4611" s="181">
        <v>39.946162672185459</v>
      </c>
    </row>
    <row r="4612" spans="2:2" ht="15">
      <c r="B4612" s="181">
        <v>25.510135141797821</v>
      </c>
    </row>
    <row r="4613" spans="2:2" ht="15">
      <c r="B4613" s="181">
        <v>26.680083494545677</v>
      </c>
    </row>
    <row r="4614" spans="2:2" ht="15">
      <c r="B4614" s="181">
        <v>13.104836934978881</v>
      </c>
    </row>
    <row r="4615" spans="2:2" ht="15">
      <c r="B4615" s="181">
        <v>29.168060339710838</v>
      </c>
    </row>
    <row r="4616" spans="2:2" ht="15">
      <c r="B4616" s="181">
        <v>38.232457037665718</v>
      </c>
    </row>
    <row r="4617" spans="2:2" ht="15">
      <c r="B4617" s="181">
        <v>22.548351308662301</v>
      </c>
    </row>
    <row r="4618" spans="2:2" ht="15">
      <c r="B4618" s="181">
        <v>10.015261868518071</v>
      </c>
    </row>
    <row r="4619" spans="2:2" ht="15">
      <c r="B4619" s="181">
        <v>14.981685008381834</v>
      </c>
    </row>
    <row r="4620" spans="2:2" ht="15">
      <c r="B4620" s="181">
        <v>13.356456757340535</v>
      </c>
    </row>
    <row r="4621" spans="2:2" ht="15">
      <c r="B4621" s="181">
        <v>7.6631298283827372</v>
      </c>
    </row>
    <row r="4622" spans="2:2" ht="15">
      <c r="B4622" s="181">
        <v>54.692457240893717</v>
      </c>
    </row>
    <row r="4623" spans="2:2" ht="15">
      <c r="B4623" s="181">
        <v>16.654982328331887</v>
      </c>
    </row>
    <row r="4624" spans="2:2" ht="15">
      <c r="B4624" s="181">
        <v>21.325884832335657</v>
      </c>
    </row>
    <row r="4625" spans="2:2" ht="15">
      <c r="B4625" s="181">
        <v>7.4396894942864185</v>
      </c>
    </row>
    <row r="4626" spans="2:2" ht="15">
      <c r="B4626" s="181">
        <v>13.490638686730403</v>
      </c>
    </row>
    <row r="4627" spans="2:2" ht="15">
      <c r="B4627" s="181">
        <v>9.3407997215896241</v>
      </c>
    </row>
    <row r="4628" spans="2:2" ht="15">
      <c r="B4628" s="181">
        <v>12.537925773416729</v>
      </c>
    </row>
    <row r="4629" spans="2:2" ht="15">
      <c r="B4629" s="181">
        <v>11.042854484431597</v>
      </c>
    </row>
    <row r="4630" spans="2:2" ht="15">
      <c r="B4630" s="181">
        <v>27.498964046932468</v>
      </c>
    </row>
    <row r="4631" spans="2:2" ht="15">
      <c r="B4631" s="181">
        <v>12.83247994734489</v>
      </c>
    </row>
    <row r="4632" spans="2:2" ht="15">
      <c r="B4632" s="181">
        <v>27.229120913808174</v>
      </c>
    </row>
    <row r="4633" spans="2:2" ht="15">
      <c r="B4633" s="181">
        <v>10.979900650622225</v>
      </c>
    </row>
    <row r="4634" spans="2:2" ht="15">
      <c r="B4634" s="181">
        <v>25.524276874132635</v>
      </c>
    </row>
    <row r="4635" spans="2:2" ht="15">
      <c r="B4635" s="181">
        <v>17.618230353967434</v>
      </c>
    </row>
    <row r="4636" spans="2:2" ht="15">
      <c r="B4636" s="181">
        <v>29.323624459243973</v>
      </c>
    </row>
    <row r="4637" spans="2:2" ht="15">
      <c r="B4637" s="181">
        <v>46.064465387517032</v>
      </c>
    </row>
    <row r="4638" spans="2:2" ht="15">
      <c r="B4638" s="181">
        <v>7.3006071498270177</v>
      </c>
    </row>
    <row r="4639" spans="2:2" ht="15">
      <c r="B4639" s="181">
        <v>19.569411697928434</v>
      </c>
    </row>
    <row r="4640" spans="2:2" ht="15">
      <c r="B4640" s="181">
        <v>12.128615970228111</v>
      </c>
    </row>
    <row r="4641" spans="2:2" ht="15">
      <c r="B4641" s="181">
        <v>7.6013950590634822</v>
      </c>
    </row>
    <row r="4642" spans="2:2" ht="15">
      <c r="B4642" s="181">
        <v>45.722949784134386</v>
      </c>
    </row>
    <row r="4643" spans="2:2" ht="15">
      <c r="B4643" s="181">
        <v>26.11098447269535</v>
      </c>
    </row>
    <row r="4644" spans="2:2" ht="15">
      <c r="B4644" s="181">
        <v>19.595855619147624</v>
      </c>
    </row>
    <row r="4645" spans="2:2" ht="15">
      <c r="B4645" s="181">
        <v>9.1789750981372844</v>
      </c>
    </row>
    <row r="4646" spans="2:2" ht="15">
      <c r="B4646" s="181">
        <v>12.791709831418901</v>
      </c>
    </row>
    <row r="4647" spans="2:2" ht="15">
      <c r="B4647" s="181">
        <v>31.389981865868283</v>
      </c>
    </row>
    <row r="4648" spans="2:2" ht="15">
      <c r="B4648" s="181">
        <v>33.206682261655388</v>
      </c>
    </row>
    <row r="4649" spans="2:2" ht="15">
      <c r="B4649" s="181">
        <v>21.524968266060171</v>
      </c>
    </row>
    <row r="4650" spans="2:2" ht="15">
      <c r="B4650" s="181">
        <v>11.230786325799501</v>
      </c>
    </row>
    <row r="4651" spans="2:2" ht="15">
      <c r="B4651" s="181">
        <v>22.819457203911803</v>
      </c>
    </row>
    <row r="4652" spans="2:2" ht="15">
      <c r="B4652" s="181">
        <v>4.8282064243111558</v>
      </c>
    </row>
    <row r="4653" spans="2:2" ht="15">
      <c r="B4653" s="181">
        <v>25.167157950795804</v>
      </c>
    </row>
    <row r="4654" spans="2:2" ht="15">
      <c r="B4654" s="181">
        <v>24.935952862684761</v>
      </c>
    </row>
    <row r="4655" spans="2:2" ht="15">
      <c r="B4655" s="181">
        <v>17.475897991113811</v>
      </c>
    </row>
    <row r="4656" spans="2:2" ht="15">
      <c r="B4656" s="181">
        <v>25.619542339471884</v>
      </c>
    </row>
    <row r="4657" spans="2:2" ht="15">
      <c r="B4657" s="181">
        <v>12.91130544773636</v>
      </c>
    </row>
    <row r="4658" spans="2:2" ht="15">
      <c r="B4658" s="181">
        <v>25.997846776419408</v>
      </c>
    </row>
    <row r="4659" spans="2:2" ht="15">
      <c r="B4659" s="181">
        <v>42.604245898611893</v>
      </c>
    </row>
    <row r="4660" spans="2:2" ht="15">
      <c r="B4660" s="181">
        <v>13.515993345694703</v>
      </c>
    </row>
    <row r="4661" spans="2:2" ht="15">
      <c r="B4661" s="181">
        <v>25.461392720161438</v>
      </c>
    </row>
    <row r="4662" spans="2:2" ht="15">
      <c r="B4662" s="181">
        <v>36.585939527370471</v>
      </c>
    </row>
    <row r="4663" spans="2:2" ht="15">
      <c r="B4663" s="181">
        <v>12.439295780230216</v>
      </c>
    </row>
    <row r="4664" spans="2:2" ht="15">
      <c r="B4664" s="181">
        <v>19.226253897772214</v>
      </c>
    </row>
    <row r="4665" spans="2:2" ht="15">
      <c r="B4665" s="181">
        <v>27.93547618256882</v>
      </c>
    </row>
    <row r="4666" spans="2:2" ht="15">
      <c r="B4666" s="181">
        <v>25.288126687340732</v>
      </c>
    </row>
    <row r="4667" spans="2:2" ht="15">
      <c r="B4667" s="181">
        <v>58.383817334404853</v>
      </c>
    </row>
    <row r="4668" spans="2:2" ht="15">
      <c r="B4668" s="181">
        <v>10.483342975279855</v>
      </c>
    </row>
    <row r="4669" spans="2:2" ht="15">
      <c r="B4669" s="181">
        <v>60.710585290008588</v>
      </c>
    </row>
    <row r="4670" spans="2:2" ht="15">
      <c r="B4670" s="181">
        <v>21.665896664124091</v>
      </c>
    </row>
    <row r="4671" spans="2:2" ht="15">
      <c r="B4671" s="181">
        <v>12.872495076913369</v>
      </c>
    </row>
    <row r="4672" spans="2:2" ht="15">
      <c r="B4672" s="181">
        <v>21.011268200514159</v>
      </c>
    </row>
    <row r="4673" spans="2:2" ht="15">
      <c r="B4673" s="181">
        <v>37.619483412057882</v>
      </c>
    </row>
    <row r="4674" spans="2:2" ht="15">
      <c r="B4674" s="181">
        <v>32.075738787300665</v>
      </c>
    </row>
    <row r="4675" spans="2:2" ht="15">
      <c r="B4675" s="181">
        <v>14.696059838219247</v>
      </c>
    </row>
    <row r="4676" spans="2:2" ht="15">
      <c r="B4676" s="181">
        <v>21.162993098365142</v>
      </c>
    </row>
    <row r="4677" spans="2:2" ht="15">
      <c r="B4677" s="181">
        <v>35.257227497667863</v>
      </c>
    </row>
    <row r="4678" spans="2:2" ht="15">
      <c r="B4678" s="181">
        <v>8.3835215975839805</v>
      </c>
    </row>
    <row r="4679" spans="2:2" ht="15">
      <c r="B4679" s="181">
        <v>14.959521113615054</v>
      </c>
    </row>
    <row r="4680" spans="2:2" ht="15">
      <c r="B4680" s="181">
        <v>7.0352390731346377</v>
      </c>
    </row>
    <row r="4681" spans="2:2" ht="15">
      <c r="B4681" s="181">
        <v>10.277505457828406</v>
      </c>
    </row>
    <row r="4682" spans="2:2" ht="15">
      <c r="B4682" s="181">
        <v>29.621967425392363</v>
      </c>
    </row>
    <row r="4683" spans="2:2" ht="15">
      <c r="B4683" s="181">
        <v>19.975829131996829</v>
      </c>
    </row>
    <row r="4684" spans="2:2" ht="15">
      <c r="B4684" s="181">
        <v>15.802098697388741</v>
      </c>
    </row>
    <row r="4685" spans="2:2" ht="15">
      <c r="B4685" s="181">
        <v>7.8584916951642034</v>
      </c>
    </row>
    <row r="4686" spans="2:2" ht="15">
      <c r="B4686" s="181">
        <v>14.461274613058665</v>
      </c>
    </row>
    <row r="4687" spans="2:2" ht="15">
      <c r="B4687" s="181">
        <v>20.244782689370322</v>
      </c>
    </row>
    <row r="4688" spans="2:2" ht="15">
      <c r="B4688" s="181">
        <v>18.975260325425658</v>
      </c>
    </row>
    <row r="4689" spans="2:2" ht="15">
      <c r="B4689" s="181">
        <v>24.40982949468248</v>
      </c>
    </row>
    <row r="4690" spans="2:2" ht="15">
      <c r="B4690" s="181">
        <v>15.176927804801817</v>
      </c>
    </row>
    <row r="4691" spans="2:2" ht="15">
      <c r="B4691" s="181">
        <v>18.459676992264132</v>
      </c>
    </row>
    <row r="4692" spans="2:2" ht="15">
      <c r="B4692" s="181">
        <v>45.757250484587225</v>
      </c>
    </row>
    <row r="4693" spans="2:2" ht="15">
      <c r="B4693" s="181">
        <v>15.355405692568281</v>
      </c>
    </row>
    <row r="4694" spans="2:2" ht="15">
      <c r="B4694" s="181">
        <v>23.668181128405781</v>
      </c>
    </row>
    <row r="4695" spans="2:2" ht="15">
      <c r="B4695" s="181">
        <v>3.5451452365103768</v>
      </c>
    </row>
    <row r="4696" spans="2:2" ht="15">
      <c r="B4696" s="181">
        <v>9.6682200316635871</v>
      </c>
    </row>
    <row r="4697" spans="2:2" ht="15">
      <c r="B4697" s="181">
        <v>27.927299976160892</v>
      </c>
    </row>
    <row r="4698" spans="2:2" ht="15">
      <c r="B4698" s="181">
        <v>32.760835680863444</v>
      </c>
    </row>
    <row r="4699" spans="2:2" ht="15">
      <c r="B4699" s="181">
        <v>26.21647908948712</v>
      </c>
    </row>
    <row r="4700" spans="2:2" ht="15">
      <c r="B4700" s="181">
        <v>9.7500827357980722</v>
      </c>
    </row>
    <row r="4701" spans="2:2" ht="15">
      <c r="B4701" s="181">
        <v>14.881831469628084</v>
      </c>
    </row>
    <row r="4702" spans="2:2" ht="15">
      <c r="B4702" s="181">
        <v>13.6156828134693</v>
      </c>
    </row>
    <row r="4703" spans="2:2" ht="15">
      <c r="B4703" s="181">
        <v>9.8792591762394384</v>
      </c>
    </row>
    <row r="4704" spans="2:2" ht="15">
      <c r="B4704" s="181">
        <v>22.781363441384027</v>
      </c>
    </row>
    <row r="4705" spans="2:2" ht="15">
      <c r="B4705" s="181">
        <v>18.376500884160002</v>
      </c>
    </row>
    <row r="4706" spans="2:2" ht="15">
      <c r="B4706" s="181">
        <v>28.448163904218173</v>
      </c>
    </row>
    <row r="4707" spans="2:2" ht="15">
      <c r="B4707" s="181">
        <v>27.739847536632389</v>
      </c>
    </row>
    <row r="4708" spans="2:2" ht="15">
      <c r="B4708" s="181">
        <v>24.304399726902876</v>
      </c>
    </row>
    <row r="4709" spans="2:2" ht="15">
      <c r="B4709" s="181">
        <v>2.9437760190481237</v>
      </c>
    </row>
    <row r="4710" spans="2:2" ht="15">
      <c r="B4710" s="181">
        <v>16.478894286489865</v>
      </c>
    </row>
    <row r="4711" spans="2:2" ht="15">
      <c r="B4711" s="181">
        <v>10.704778460000311</v>
      </c>
    </row>
    <row r="4712" spans="2:2" ht="15">
      <c r="B4712" s="181">
        <v>39.164422798229019</v>
      </c>
    </row>
    <row r="4713" spans="2:2" ht="15">
      <c r="B4713" s="181">
        <v>14.773423282231594</v>
      </c>
    </row>
    <row r="4714" spans="2:2" ht="15">
      <c r="B4714" s="181">
        <v>10.790999204783727</v>
      </c>
    </row>
    <row r="4715" spans="2:2" ht="15">
      <c r="B4715" s="181">
        <v>25.374860853874967</v>
      </c>
    </row>
    <row r="4716" spans="2:2" ht="15">
      <c r="B4716" s="181">
        <v>22.475367565956393</v>
      </c>
    </row>
    <row r="4717" spans="2:2" ht="15">
      <c r="B4717" s="181">
        <v>12.018336106275351</v>
      </c>
    </row>
    <row r="4718" spans="2:2" ht="15">
      <c r="B4718" s="181">
        <v>13.418910791362361</v>
      </c>
    </row>
    <row r="4719" spans="2:2" ht="15">
      <c r="B4719" s="181">
        <v>10.305434295749055</v>
      </c>
    </row>
    <row r="4720" spans="2:2" ht="15">
      <c r="B4720" s="181">
        <v>3.7540854719021604</v>
      </c>
    </row>
    <row r="4721" spans="2:2" ht="15">
      <c r="B4721" s="181">
        <v>23.609165556300731</v>
      </c>
    </row>
    <row r="4722" spans="2:2" ht="15">
      <c r="B4722" s="181">
        <v>37.653761815739621</v>
      </c>
    </row>
    <row r="4723" spans="2:2" ht="15">
      <c r="B4723" s="181">
        <v>22.732319120421057</v>
      </c>
    </row>
    <row r="4724" spans="2:2" ht="15">
      <c r="B4724" s="181">
        <v>30.383766134460057</v>
      </c>
    </row>
    <row r="4725" spans="2:2" ht="15">
      <c r="B4725" s="181">
        <v>19.959127627619647</v>
      </c>
    </row>
    <row r="4726" spans="2:2" ht="15">
      <c r="B4726" s="181">
        <v>11.436190808116676</v>
      </c>
    </row>
    <row r="4727" spans="2:2" ht="15">
      <c r="B4727" s="181">
        <v>25.231149194472504</v>
      </c>
    </row>
    <row r="4728" spans="2:2" ht="15">
      <c r="B4728" s="181">
        <v>22.467206930499906</v>
      </c>
    </row>
    <row r="4729" spans="2:2" ht="15">
      <c r="B4729" s="181">
        <v>27.0134934228284</v>
      </c>
    </row>
    <row r="4730" spans="2:2" ht="15">
      <c r="B4730" s="181">
        <v>24.72137907955716</v>
      </c>
    </row>
    <row r="4731" spans="2:2" ht="15">
      <c r="B4731" s="181">
        <v>11.392333535032027</v>
      </c>
    </row>
    <row r="4732" spans="2:2" ht="15">
      <c r="B4732" s="181">
        <v>8.3921105403594076</v>
      </c>
    </row>
    <row r="4733" spans="2:2" ht="15">
      <c r="B4733" s="181">
        <v>16.078189116946941</v>
      </c>
    </row>
    <row r="4734" spans="2:2" ht="15">
      <c r="B4734" s="181">
        <v>21.761889305822763</v>
      </c>
    </row>
    <row r="4735" spans="2:2" ht="15">
      <c r="B4735" s="181">
        <v>27.758432134616587</v>
      </c>
    </row>
    <row r="4736" spans="2:2" ht="15">
      <c r="B4736" s="181">
        <v>15.975847721097136</v>
      </c>
    </row>
    <row r="4737" spans="2:2" ht="15">
      <c r="B4737" s="181">
        <v>21.563676045858585</v>
      </c>
    </row>
    <row r="4738" spans="2:2" ht="15">
      <c r="B4738" s="181">
        <v>21.443439811424945</v>
      </c>
    </row>
    <row r="4739" spans="2:2" ht="15">
      <c r="B4739" s="181">
        <v>19.23545939990144</v>
      </c>
    </row>
    <row r="4740" spans="2:2" ht="15">
      <c r="B4740" s="181">
        <v>10.366989329059795</v>
      </c>
    </row>
    <row r="4741" spans="2:2" ht="15">
      <c r="B4741" s="181">
        <v>17.934826601739704</v>
      </c>
    </row>
    <row r="4742" spans="2:2" ht="15">
      <c r="B4742" s="181">
        <v>17.936506721882008</v>
      </c>
    </row>
    <row r="4743" spans="2:2" ht="15">
      <c r="B4743" s="181">
        <v>11.920194103286013</v>
      </c>
    </row>
    <row r="4744" spans="2:2" ht="15">
      <c r="B4744" s="181">
        <v>31.35245937292353</v>
      </c>
    </row>
    <row r="4745" spans="2:2" ht="15">
      <c r="B4745" s="181">
        <v>14.261721450751635</v>
      </c>
    </row>
    <row r="4746" spans="2:2" ht="15">
      <c r="B4746" s="181">
        <v>22.985553682326511</v>
      </c>
    </row>
    <row r="4747" spans="2:2" ht="15">
      <c r="B4747" s="181">
        <v>15.555185260552086</v>
      </c>
    </row>
    <row r="4748" spans="2:2" ht="15">
      <c r="B4748" s="181">
        <v>12.941528013341602</v>
      </c>
    </row>
    <row r="4749" spans="2:2" ht="15">
      <c r="B4749" s="181">
        <v>10.756639009027046</v>
      </c>
    </row>
    <row r="4750" spans="2:2" ht="15">
      <c r="B4750" s="181">
        <v>13.525033215885902</v>
      </c>
    </row>
    <row r="4751" spans="2:2" ht="15">
      <c r="B4751" s="181">
        <v>8.3531909484289848</v>
      </c>
    </row>
    <row r="4752" spans="2:2" ht="15">
      <c r="B4752" s="181">
        <v>15.263273807771435</v>
      </c>
    </row>
    <row r="4753" spans="2:2" ht="15">
      <c r="B4753" s="181">
        <v>14.083303829066963</v>
      </c>
    </row>
    <row r="4754" spans="2:2" ht="15">
      <c r="B4754" s="181">
        <v>10.628930632511045</v>
      </c>
    </row>
    <row r="4755" spans="2:2" ht="15">
      <c r="B4755" s="181">
        <v>30.895618820799417</v>
      </c>
    </row>
    <row r="4756" spans="2:2" ht="15">
      <c r="B4756" s="181">
        <v>13.515517862113134</v>
      </c>
    </row>
    <row r="4757" spans="2:2" ht="15">
      <c r="B4757" s="181">
        <v>17.595860265301489</v>
      </c>
    </row>
    <row r="4758" spans="2:2" ht="15">
      <c r="B4758" s="181">
        <v>22.035691243815208</v>
      </c>
    </row>
    <row r="4759" spans="2:2" ht="15">
      <c r="B4759" s="181">
        <v>16.917459739967075</v>
      </c>
    </row>
    <row r="4760" spans="2:2" ht="15">
      <c r="B4760" s="181">
        <v>29.49364145750042</v>
      </c>
    </row>
    <row r="4761" spans="2:2" ht="15">
      <c r="B4761" s="181">
        <v>12.791090831166237</v>
      </c>
    </row>
    <row r="4762" spans="2:2" ht="15">
      <c r="B4762" s="181">
        <v>12.167402298906181</v>
      </c>
    </row>
    <row r="4763" spans="2:2" ht="15">
      <c r="B4763" s="181">
        <v>20.289444191343048</v>
      </c>
    </row>
    <row r="4764" spans="2:2" ht="15">
      <c r="B4764" s="181">
        <v>14.710014851632732</v>
      </c>
    </row>
    <row r="4765" spans="2:2" ht="15">
      <c r="B4765" s="181">
        <v>25.32422976295782</v>
      </c>
    </row>
    <row r="4766" spans="2:2" ht="15">
      <c r="B4766" s="181">
        <v>38.234566885317555</v>
      </c>
    </row>
    <row r="4767" spans="2:2" ht="15">
      <c r="B4767" s="181">
        <v>13.758745645403737</v>
      </c>
    </row>
    <row r="4768" spans="2:2" ht="15">
      <c r="B4768" s="181">
        <v>13.845508480740637</v>
      </c>
    </row>
    <row r="4769" spans="2:2" ht="15">
      <c r="B4769" s="181">
        <v>12.079263926413917</v>
      </c>
    </row>
    <row r="4770" spans="2:2" ht="15">
      <c r="B4770" s="181">
        <v>23.847673902983466</v>
      </c>
    </row>
    <row r="4771" spans="2:2" ht="15">
      <c r="B4771" s="181">
        <v>3.6253988444014511</v>
      </c>
    </row>
    <row r="4772" spans="2:2" ht="15">
      <c r="B4772" s="181">
        <v>25.461390023040487</v>
      </c>
    </row>
    <row r="4773" spans="2:2" ht="15">
      <c r="B4773" s="181">
        <v>21.048877601185559</v>
      </c>
    </row>
    <row r="4774" spans="2:2" ht="15">
      <c r="B4774" s="181">
        <v>13.403723851374066</v>
      </c>
    </row>
    <row r="4775" spans="2:2" ht="15">
      <c r="B4775" s="181">
        <v>13.984832762601728</v>
      </c>
    </row>
    <row r="4776" spans="2:2" ht="15">
      <c r="B4776" s="181">
        <v>21.796364849007471</v>
      </c>
    </row>
    <row r="4777" spans="2:2" ht="15">
      <c r="B4777" s="181">
        <v>12.123169333426706</v>
      </c>
    </row>
    <row r="4778" spans="2:2" ht="15">
      <c r="B4778" s="181">
        <v>25.945345991803272</v>
      </c>
    </row>
    <row r="4779" spans="2:2" ht="15">
      <c r="B4779" s="181">
        <v>19.88338952402983</v>
      </c>
    </row>
    <row r="4780" spans="2:2" ht="15">
      <c r="B4780" s="181">
        <v>19.586372307344341</v>
      </c>
    </row>
    <row r="4781" spans="2:2" ht="15">
      <c r="B4781" s="181">
        <v>15.278770584441979</v>
      </c>
    </row>
    <row r="4782" spans="2:2" ht="15">
      <c r="B4782" s="181">
        <v>23.633176846986128</v>
      </c>
    </row>
    <row r="4783" spans="2:2" ht="15">
      <c r="B4783" s="181">
        <v>5.9002032063089684</v>
      </c>
    </row>
    <row r="4784" spans="2:2" ht="15">
      <c r="B4784" s="181">
        <v>21.01213576227569</v>
      </c>
    </row>
    <row r="4785" spans="2:2" ht="15">
      <c r="B4785" s="181">
        <v>43.661768327543449</v>
      </c>
    </row>
    <row r="4786" spans="2:2" ht="15">
      <c r="B4786" s="181">
        <v>27.56780532896105</v>
      </c>
    </row>
    <row r="4787" spans="2:2" ht="15">
      <c r="B4787" s="181">
        <v>15.892648635530744</v>
      </c>
    </row>
    <row r="4788" spans="2:2" ht="15">
      <c r="B4788" s="181">
        <v>11.363616174438921</v>
      </c>
    </row>
    <row r="4789" spans="2:2" ht="15">
      <c r="B4789" s="181">
        <v>15.110837717876583</v>
      </c>
    </row>
    <row r="4790" spans="2:2" ht="15">
      <c r="B4790" s="181">
        <v>17.475206944811742</v>
      </c>
    </row>
    <row r="4791" spans="2:2" ht="15">
      <c r="B4791" s="181">
        <v>11.92400849168296</v>
      </c>
    </row>
    <row r="4792" spans="2:2" ht="15">
      <c r="B4792" s="181">
        <v>16.533659727774342</v>
      </c>
    </row>
    <row r="4793" spans="2:2" ht="15">
      <c r="B4793" s="181">
        <v>35.079660168212953</v>
      </c>
    </row>
    <row r="4794" spans="2:2" ht="15">
      <c r="B4794" s="181">
        <v>39.799223860731693</v>
      </c>
    </row>
    <row r="4795" spans="2:2" ht="15">
      <c r="B4795" s="181">
        <v>12.296055637246065</v>
      </c>
    </row>
    <row r="4796" spans="2:2" ht="15">
      <c r="B4796" s="181">
        <v>14.677854974008907</v>
      </c>
    </row>
    <row r="4797" spans="2:2" ht="15">
      <c r="B4797" s="181">
        <v>54.25530727232092</v>
      </c>
    </row>
    <row r="4798" spans="2:2" ht="15">
      <c r="B4798" s="181">
        <v>16.93249443710188</v>
      </c>
    </row>
    <row r="4799" spans="2:2" ht="15">
      <c r="B4799" s="181">
        <v>15.728059231967878</v>
      </c>
    </row>
    <row r="4800" spans="2:2" ht="15">
      <c r="B4800" s="181">
        <v>27.1681425874153</v>
      </c>
    </row>
    <row r="4801" spans="2:2" ht="15">
      <c r="B4801" s="181">
        <v>23.434672946141539</v>
      </c>
    </row>
    <row r="4802" spans="2:2" ht="15">
      <c r="B4802" s="181">
        <v>65.514931010636346</v>
      </c>
    </row>
    <row r="4803" spans="2:2" ht="15">
      <c r="B4803" s="181">
        <v>21.636251795826805</v>
      </c>
    </row>
    <row r="4804" spans="2:2" ht="15">
      <c r="B4804" s="181">
        <v>12.709676090868271</v>
      </c>
    </row>
    <row r="4805" spans="2:2" ht="15">
      <c r="B4805" s="181">
        <v>12.034507569974279</v>
      </c>
    </row>
    <row r="4806" spans="2:2" ht="15">
      <c r="B4806" s="181">
        <v>8.5521443871687115</v>
      </c>
    </row>
    <row r="4807" spans="2:2" ht="15">
      <c r="B4807" s="181">
        <v>26.233106159605263</v>
      </c>
    </row>
    <row r="4808" spans="2:2" ht="15">
      <c r="B4808" s="181">
        <v>24.801858568877705</v>
      </c>
    </row>
    <row r="4809" spans="2:2" ht="15">
      <c r="B4809" s="181">
        <v>35.001519628580347</v>
      </c>
    </row>
    <row r="4810" spans="2:2" ht="15">
      <c r="B4810" s="181">
        <v>5.5854952168306422</v>
      </c>
    </row>
    <row r="4811" spans="2:2" ht="15">
      <c r="B4811" s="181">
        <v>34.118669692235834</v>
      </c>
    </row>
    <row r="4812" spans="2:2" ht="15">
      <c r="B4812" s="181">
        <v>16.546409723132751</v>
      </c>
    </row>
    <row r="4813" spans="2:2" ht="15">
      <c r="B4813" s="181">
        <v>24.701831142897763</v>
      </c>
    </row>
    <row r="4814" spans="2:2" ht="15">
      <c r="B4814" s="181">
        <v>17.221699065155121</v>
      </c>
    </row>
    <row r="4815" spans="2:2" ht="15">
      <c r="B4815" s="181">
        <v>7.0608373112774379</v>
      </c>
    </row>
    <row r="4816" spans="2:2" ht="15">
      <c r="B4816" s="181">
        <v>10.1735191435766</v>
      </c>
    </row>
    <row r="4817" spans="2:2" ht="15">
      <c r="B4817" s="181">
        <v>19.855072691411628</v>
      </c>
    </row>
    <row r="4818" spans="2:2" ht="15">
      <c r="B4818" s="181">
        <v>10.53505800084263</v>
      </c>
    </row>
    <row r="4819" spans="2:2" ht="15">
      <c r="B4819" s="181">
        <v>29.117098793588244</v>
      </c>
    </row>
    <row r="4820" spans="2:2" ht="15">
      <c r="B4820" s="181">
        <v>13.485101349025141</v>
      </c>
    </row>
    <row r="4821" spans="2:2" ht="15">
      <c r="B4821" s="181">
        <v>40.956414264627462</v>
      </c>
    </row>
    <row r="4822" spans="2:2" ht="15">
      <c r="B4822" s="181">
        <v>63.625287772481727</v>
      </c>
    </row>
    <row r="4823" spans="2:2" ht="15">
      <c r="B4823" s="181">
        <v>4.9752738844836095</v>
      </c>
    </row>
    <row r="4824" spans="2:2" ht="15">
      <c r="B4824" s="181">
        <v>22.454120564992603</v>
      </c>
    </row>
    <row r="4825" spans="2:2" ht="15">
      <c r="B4825" s="181">
        <v>32.265327937445988</v>
      </c>
    </row>
    <row r="4826" spans="2:2" ht="15">
      <c r="B4826" s="181">
        <v>33.051598224064058</v>
      </c>
    </row>
    <row r="4827" spans="2:2" ht="15">
      <c r="B4827" s="181">
        <v>16.674524574900882</v>
      </c>
    </row>
    <row r="4828" spans="2:2" ht="15">
      <c r="B4828" s="181">
        <v>11.911526307051135</v>
      </c>
    </row>
    <row r="4829" spans="2:2" ht="15">
      <c r="B4829" s="181">
        <v>11.384342570315772</v>
      </c>
    </row>
    <row r="4830" spans="2:2" ht="15">
      <c r="B4830" s="181">
        <v>7.2358242317325603</v>
      </c>
    </row>
    <row r="4831" spans="2:2" ht="15">
      <c r="B4831" s="181">
        <v>9.981468672217769</v>
      </c>
    </row>
    <row r="4832" spans="2:2" ht="15">
      <c r="B4832" s="181">
        <v>12.705472881661827</v>
      </c>
    </row>
    <row r="4833" spans="2:2" ht="15">
      <c r="B4833" s="181">
        <v>32.082616807688993</v>
      </c>
    </row>
    <row r="4834" spans="2:2" ht="15">
      <c r="B4834" s="181">
        <v>8.4624713957903133</v>
      </c>
    </row>
    <row r="4835" spans="2:2" ht="15">
      <c r="B4835" s="181">
        <v>7.891731748815312</v>
      </c>
    </row>
    <row r="4836" spans="2:2" ht="15">
      <c r="B4836" s="181">
        <v>12.10788915817424</v>
      </c>
    </row>
    <row r="4837" spans="2:2" ht="15">
      <c r="B4837" s="181">
        <v>22.31594215183814</v>
      </c>
    </row>
    <row r="4838" spans="2:2" ht="15">
      <c r="B4838" s="181">
        <v>25.038727052198304</v>
      </c>
    </row>
    <row r="4839" spans="2:2" ht="15">
      <c r="B4839" s="181">
        <v>11.298899464283521</v>
      </c>
    </row>
    <row r="4840" spans="2:2" ht="15">
      <c r="B4840" s="181">
        <v>33.833297676171455</v>
      </c>
    </row>
    <row r="4841" spans="2:2" ht="15">
      <c r="B4841" s="181">
        <v>36.070227472069654</v>
      </c>
    </row>
    <row r="4842" spans="2:2" ht="15">
      <c r="B4842" s="181">
        <v>16.596017444292169</v>
      </c>
    </row>
    <row r="4843" spans="2:2" ht="15">
      <c r="B4843" s="181">
        <v>12.355401361029122</v>
      </c>
    </row>
    <row r="4844" spans="2:2" ht="15">
      <c r="B4844" s="181">
        <v>7.7730770299859318</v>
      </c>
    </row>
    <row r="4845" spans="2:2" ht="15">
      <c r="B4845" s="181">
        <v>13.756603579128415</v>
      </c>
    </row>
    <row r="4846" spans="2:2" ht="15">
      <c r="B4846" s="181">
        <v>30.092173116414013</v>
      </c>
    </row>
    <row r="4847" spans="2:2" ht="15">
      <c r="B4847" s="181">
        <v>19.976046767979327</v>
      </c>
    </row>
    <row r="4848" spans="2:2" ht="15">
      <c r="B4848" s="181">
        <v>10.231896403228586</v>
      </c>
    </row>
    <row r="4849" spans="2:2" ht="15">
      <c r="B4849" s="181">
        <v>13.010527483216668</v>
      </c>
    </row>
    <row r="4850" spans="2:2" ht="15">
      <c r="B4850" s="181">
        <v>18.135118698441062</v>
      </c>
    </row>
    <row r="4851" spans="2:2" ht="15">
      <c r="B4851" s="181">
        <v>13.99199643392844</v>
      </c>
    </row>
    <row r="4852" spans="2:2" ht="15">
      <c r="B4852" s="181">
        <v>21.581623634923666</v>
      </c>
    </row>
    <row r="4853" spans="2:2" ht="15">
      <c r="B4853" s="181">
        <v>9.3405459318292205</v>
      </c>
    </row>
    <row r="4854" spans="2:2" ht="15">
      <c r="B4854" s="181">
        <v>34.613946474494917</v>
      </c>
    </row>
    <row r="4855" spans="2:2" ht="15">
      <c r="B4855" s="181">
        <v>18.326083375086746</v>
      </c>
    </row>
    <row r="4856" spans="2:2" ht="15">
      <c r="B4856" s="181">
        <v>25.74906970724081</v>
      </c>
    </row>
    <row r="4857" spans="2:2" ht="15">
      <c r="B4857" s="181">
        <v>14.258542788546622</v>
      </c>
    </row>
    <row r="4858" spans="2:2" ht="15">
      <c r="B4858" s="181">
        <v>1.1694627206373693</v>
      </c>
    </row>
    <row r="4859" spans="2:2" ht="15">
      <c r="B4859" s="181">
        <v>53.866301969890287</v>
      </c>
    </row>
    <row r="4860" spans="2:2" ht="15">
      <c r="B4860" s="181">
        <v>17.449640089749042</v>
      </c>
    </row>
    <row r="4861" spans="2:2" ht="15">
      <c r="B4861" s="181">
        <v>9.577843953937812</v>
      </c>
    </row>
    <row r="4862" spans="2:2" ht="15">
      <c r="B4862" s="181">
        <v>22.358454201559265</v>
      </c>
    </row>
    <row r="4863" spans="2:2" ht="15">
      <c r="B4863" s="181">
        <v>11.691874940992378</v>
      </c>
    </row>
    <row r="4864" spans="2:2" ht="15">
      <c r="B4864" s="181">
        <v>13.179242912180795</v>
      </c>
    </row>
    <row r="4865" spans="2:2" ht="15">
      <c r="B4865" s="181">
        <v>18.462467333182634</v>
      </c>
    </row>
    <row r="4866" spans="2:2" ht="15">
      <c r="B4866" s="181">
        <v>37.996094421826172</v>
      </c>
    </row>
    <row r="4867" spans="2:2" ht="15">
      <c r="B4867" s="181">
        <v>36.191463710032075</v>
      </c>
    </row>
    <row r="4868" spans="2:2" ht="15">
      <c r="B4868" s="181">
        <v>37.746651847149643</v>
      </c>
    </row>
    <row r="4869" spans="2:2" ht="15">
      <c r="B4869" s="181">
        <v>25.383809484550607</v>
      </c>
    </row>
    <row r="4870" spans="2:2" ht="15">
      <c r="B4870" s="181">
        <v>31.287283670411128</v>
      </c>
    </row>
    <row r="4871" spans="2:2" ht="15">
      <c r="B4871" s="181">
        <v>20.406317284559062</v>
      </c>
    </row>
    <row r="4872" spans="2:2" ht="15">
      <c r="B4872" s="181">
        <v>31.133516537352119</v>
      </c>
    </row>
    <row r="4873" spans="2:2" ht="15">
      <c r="B4873" s="181">
        <v>12.022250295924991</v>
      </c>
    </row>
    <row r="4874" spans="2:2" ht="15">
      <c r="B4874" s="181">
        <v>28.598736092352762</v>
      </c>
    </row>
    <row r="4875" spans="2:2" ht="15">
      <c r="B4875" s="181">
        <v>18.40451567318409</v>
      </c>
    </row>
    <row r="4876" spans="2:2" ht="15">
      <c r="B4876" s="181">
        <v>6.0578606429439015</v>
      </c>
    </row>
    <row r="4877" spans="2:2" ht="15">
      <c r="B4877" s="181">
        <v>12.325224122610718</v>
      </c>
    </row>
    <row r="4878" spans="2:2" ht="15">
      <c r="B4878" s="181">
        <v>5.3186986742328584</v>
      </c>
    </row>
    <row r="4879" spans="2:2" ht="15">
      <c r="B4879" s="181">
        <v>62.57574463374025</v>
      </c>
    </row>
    <row r="4880" spans="2:2" ht="15">
      <c r="B4880" s="181">
        <v>14.127307730214314</v>
      </c>
    </row>
    <row r="4881" spans="2:2" ht="15">
      <c r="B4881" s="181">
        <v>22.55822488654983</v>
      </c>
    </row>
    <row r="4882" spans="2:2" ht="15">
      <c r="B4882" s="181">
        <v>15.030829463971573</v>
      </c>
    </row>
    <row r="4883" spans="2:2" ht="15">
      <c r="B4883" s="181">
        <v>34.815770088327312</v>
      </c>
    </row>
    <row r="4884" spans="2:2" ht="15">
      <c r="B4884" s="181">
        <v>32.516362939244082</v>
      </c>
    </row>
    <row r="4885" spans="2:2" ht="15">
      <c r="B4885" s="181">
        <v>11.375180649138743</v>
      </c>
    </row>
    <row r="4886" spans="2:2" ht="15">
      <c r="B4886" s="181">
        <v>10.152044531490672</v>
      </c>
    </row>
    <row r="4887" spans="2:2" ht="15">
      <c r="B4887" s="181">
        <v>15.640343976120464</v>
      </c>
    </row>
    <row r="4888" spans="2:2" ht="15">
      <c r="B4888" s="181">
        <v>42.669818803301432</v>
      </c>
    </row>
    <row r="4889" spans="2:2" ht="15">
      <c r="B4889" s="181">
        <v>13.44507287841758</v>
      </c>
    </row>
    <row r="4890" spans="2:2" ht="15">
      <c r="B4890" s="181">
        <v>44.597697524173235</v>
      </c>
    </row>
    <row r="4891" spans="2:2" ht="15">
      <c r="B4891" s="181">
        <v>18.211267978116592</v>
      </c>
    </row>
    <row r="4892" spans="2:2" ht="15">
      <c r="B4892" s="181">
        <v>19.969708700351248</v>
      </c>
    </row>
    <row r="4893" spans="2:2" ht="15">
      <c r="B4893" s="181">
        <v>32.004530076654838</v>
      </c>
    </row>
    <row r="4894" spans="2:2" ht="15">
      <c r="B4894" s="181">
        <v>13.066272161107586</v>
      </c>
    </row>
    <row r="4895" spans="2:2" ht="15">
      <c r="B4895" s="181">
        <v>23.141221408061782</v>
      </c>
    </row>
    <row r="4896" spans="2:2" ht="15">
      <c r="B4896" s="181">
        <v>40.957269347335249</v>
      </c>
    </row>
    <row r="4897" spans="2:2" ht="15">
      <c r="B4897" s="181">
        <v>20.260584994386033</v>
      </c>
    </row>
    <row r="4898" spans="2:2" ht="15">
      <c r="B4898" s="181">
        <v>23.048792734266311</v>
      </c>
    </row>
    <row r="4899" spans="2:2" ht="15">
      <c r="B4899" s="181">
        <v>19.761745185112577</v>
      </c>
    </row>
    <row r="4900" spans="2:2" ht="15">
      <c r="B4900" s="181">
        <v>34.475381313121105</v>
      </c>
    </row>
    <row r="4901" spans="2:2" ht="15">
      <c r="B4901" s="181">
        <v>21.288412124021846</v>
      </c>
    </row>
    <row r="4902" spans="2:2" ht="15">
      <c r="B4902" s="181">
        <v>19.038673615485965</v>
      </c>
    </row>
    <row r="4903" spans="2:2" ht="15">
      <c r="B4903" s="181">
        <v>16.470289277691627</v>
      </c>
    </row>
    <row r="4904" spans="2:2" ht="15">
      <c r="B4904" s="181">
        <v>35.957250749567002</v>
      </c>
    </row>
    <row r="4905" spans="2:2" ht="15">
      <c r="B4905" s="181">
        <v>19.550322368754635</v>
      </c>
    </row>
    <row r="4906" spans="2:2" ht="15">
      <c r="B4906" s="181">
        <v>25.926614865668224</v>
      </c>
    </row>
    <row r="4907" spans="2:2" ht="15">
      <c r="B4907" s="181">
        <v>37.973194480243414</v>
      </c>
    </row>
    <row r="4908" spans="2:2" ht="15">
      <c r="B4908" s="181">
        <v>35.982522861580975</v>
      </c>
    </row>
    <row r="4909" spans="2:2" ht="15">
      <c r="B4909" s="181">
        <v>12.453904519425683</v>
      </c>
    </row>
    <row r="4910" spans="2:2" ht="15">
      <c r="B4910" s="181">
        <v>47.696193684692318</v>
      </c>
    </row>
    <row r="4911" spans="2:2" ht="15">
      <c r="B4911" s="181">
        <v>10.943128859135783</v>
      </c>
    </row>
    <row r="4912" spans="2:2" ht="15">
      <c r="B4912" s="181">
        <v>10.390066848217785</v>
      </c>
    </row>
    <row r="4913" spans="2:2" ht="15">
      <c r="B4913" s="181">
        <v>21.199060020311038</v>
      </c>
    </row>
    <row r="4914" spans="2:2" ht="15">
      <c r="B4914" s="181">
        <v>9.3388799598659613</v>
      </c>
    </row>
    <row r="4915" spans="2:2" ht="15">
      <c r="B4915" s="181">
        <v>24.946524226686854</v>
      </c>
    </row>
    <row r="4916" spans="2:2" ht="15">
      <c r="B4916" s="181">
        <v>35.423057854655092</v>
      </c>
    </row>
    <row r="4917" spans="2:2" ht="15">
      <c r="B4917" s="181">
        <v>6.8714305240911706</v>
      </c>
    </row>
    <row r="4918" spans="2:2" ht="15">
      <c r="B4918" s="181">
        <v>36.875082976023549</v>
      </c>
    </row>
    <row r="4919" spans="2:2" ht="15">
      <c r="B4919" s="181">
        <v>11.19500738743532</v>
      </c>
    </row>
    <row r="4920" spans="2:2" ht="15">
      <c r="B4920" s="181">
        <v>8.6433294236318794</v>
      </c>
    </row>
    <row r="4921" spans="2:2" ht="15">
      <c r="B4921" s="181">
        <v>18.385583146506775</v>
      </c>
    </row>
    <row r="4922" spans="2:2" ht="15">
      <c r="B4922" s="181">
        <v>48.942471023928924</v>
      </c>
    </row>
    <row r="4923" spans="2:2" ht="15">
      <c r="B4923" s="181">
        <v>9.0258776563079266</v>
      </c>
    </row>
    <row r="4924" spans="2:2" ht="15">
      <c r="B4924" s="181">
        <v>15.874730992260229</v>
      </c>
    </row>
    <row r="4925" spans="2:2" ht="15">
      <c r="B4925" s="181">
        <v>8.0097886319005482</v>
      </c>
    </row>
    <row r="4926" spans="2:2" ht="15">
      <c r="B4926" s="181">
        <v>18.074343782962902</v>
      </c>
    </row>
    <row r="4927" spans="2:2" ht="15">
      <c r="B4927" s="181">
        <v>5.9761621938837042</v>
      </c>
    </row>
    <row r="4928" spans="2:2" ht="15">
      <c r="B4928" s="181">
        <v>17.208352082254454</v>
      </c>
    </row>
    <row r="4929" spans="2:2" ht="15">
      <c r="B4929" s="181">
        <v>27.552685183465801</v>
      </c>
    </row>
    <row r="4930" spans="2:2" ht="15">
      <c r="B4930" s="181">
        <v>11.014659414530023</v>
      </c>
    </row>
    <row r="4931" spans="2:2" ht="15">
      <c r="B4931" s="181">
        <v>56.566706508355558</v>
      </c>
    </row>
    <row r="4932" spans="2:2" ht="15">
      <c r="B4932" s="181">
        <v>7.6936349421759926</v>
      </c>
    </row>
    <row r="4933" spans="2:2" ht="15">
      <c r="B4933" s="181">
        <v>26.198740655292891</v>
      </c>
    </row>
    <row r="4934" spans="2:2" ht="15">
      <c r="B4934" s="181">
        <v>19.770461393893235</v>
      </c>
    </row>
    <row r="4935" spans="2:2" ht="15">
      <c r="B4935" s="181">
        <v>17.246131320721958</v>
      </c>
    </row>
    <row r="4936" spans="2:2" ht="15">
      <c r="B4936" s="181">
        <v>40.168348387315028</v>
      </c>
    </row>
    <row r="4937" spans="2:2" ht="15">
      <c r="B4937" s="181">
        <v>30.814385380069066</v>
      </c>
    </row>
    <row r="4938" spans="2:2" ht="15">
      <c r="B4938" s="181">
        <v>14.665224691770744</v>
      </c>
    </row>
    <row r="4939" spans="2:2" ht="15">
      <c r="B4939" s="181">
        <v>10.253551092645299</v>
      </c>
    </row>
    <row r="4940" spans="2:2" ht="15">
      <c r="B4940" s="181">
        <v>7.4116828218707456</v>
      </c>
    </row>
    <row r="4941" spans="2:2" ht="15">
      <c r="B4941" s="181">
        <v>18.745233724754566</v>
      </c>
    </row>
    <row r="4942" spans="2:2" ht="15">
      <c r="B4942" s="181">
        <v>25.422026539458667</v>
      </c>
    </row>
    <row r="4943" spans="2:2" ht="15">
      <c r="B4943" s="181">
        <v>19.319655618901656</v>
      </c>
    </row>
    <row r="4944" spans="2:2" ht="15">
      <c r="B4944" s="181">
        <v>16.050016698446001</v>
      </c>
    </row>
    <row r="4945" spans="2:2" ht="15">
      <c r="B4945" s="181">
        <v>19.08966139616679</v>
      </c>
    </row>
    <row r="4946" spans="2:2" ht="15">
      <c r="B4946" s="181">
        <v>24.523723924487943</v>
      </c>
    </row>
    <row r="4947" spans="2:2" ht="15">
      <c r="B4947" s="181">
        <v>20.426926841829278</v>
      </c>
    </row>
    <row r="4948" spans="2:2" ht="15">
      <c r="B4948" s="181">
        <v>13.882217192780788</v>
      </c>
    </row>
    <row r="4949" spans="2:2" ht="15">
      <c r="B4949" s="181">
        <v>36.148439137014257</v>
      </c>
    </row>
    <row r="4950" spans="2:2" ht="15">
      <c r="B4950" s="181">
        <v>36.336937081705003</v>
      </c>
    </row>
    <row r="4951" spans="2:2" ht="15">
      <c r="B4951" s="181">
        <v>8.3451989888828528</v>
      </c>
    </row>
    <row r="4952" spans="2:2" ht="15">
      <c r="B4952" s="181">
        <v>23.822291969671188</v>
      </c>
    </row>
    <row r="4953" spans="2:2" ht="15">
      <c r="B4953" s="181">
        <v>20.696521592301689</v>
      </c>
    </row>
    <row r="4954" spans="2:2" ht="15">
      <c r="B4954" s="181">
        <v>22.872113574716387</v>
      </c>
    </row>
    <row r="4955" spans="2:2" ht="15">
      <c r="B4955" s="181">
        <v>24.49183390144908</v>
      </c>
    </row>
    <row r="4956" spans="2:2" ht="15">
      <c r="B4956" s="181">
        <v>14.982561226557836</v>
      </c>
    </row>
    <row r="4957" spans="2:2" ht="15">
      <c r="B4957" s="181">
        <v>15.027386316856814</v>
      </c>
    </row>
    <row r="4958" spans="2:2" ht="15">
      <c r="B4958" s="181">
        <v>10.624458849080034</v>
      </c>
    </row>
    <row r="4959" spans="2:2" ht="15">
      <c r="B4959" s="181">
        <v>29.852982784262036</v>
      </c>
    </row>
    <row r="4960" spans="2:2" ht="15">
      <c r="B4960" s="181">
        <v>37.811677260200085</v>
      </c>
    </row>
    <row r="4961" spans="2:2" ht="15">
      <c r="B4961" s="181">
        <v>7.815971961814931</v>
      </c>
    </row>
    <row r="4962" spans="2:2" ht="15">
      <c r="B4962" s="181">
        <v>12.616369691902607</v>
      </c>
    </row>
    <row r="4963" spans="2:2" ht="15">
      <c r="B4963" s="181">
        <v>18.88801401799504</v>
      </c>
    </row>
    <row r="4964" spans="2:2" ht="15">
      <c r="B4964" s="181">
        <v>15.952115208047275</v>
      </c>
    </row>
    <row r="4965" spans="2:2" ht="15">
      <c r="B4965" s="181">
        <v>20.042578757761159</v>
      </c>
    </row>
    <row r="4966" spans="2:2" ht="15">
      <c r="B4966" s="181">
        <v>21.80796983516991</v>
      </c>
    </row>
    <row r="4967" spans="2:2" ht="15">
      <c r="B4967" s="181">
        <v>12.729774310413044</v>
      </c>
    </row>
    <row r="4968" spans="2:2" ht="15">
      <c r="B4968" s="181">
        <v>25.164875762227084</v>
      </c>
    </row>
    <row r="4969" spans="2:2" ht="15">
      <c r="B4969" s="181">
        <v>8.7641523520937561</v>
      </c>
    </row>
    <row r="4970" spans="2:2" ht="15">
      <c r="B4970" s="181">
        <v>30.978899677254258</v>
      </c>
    </row>
    <row r="4971" spans="2:2" ht="15">
      <c r="B4971" s="181">
        <v>37.420141004095299</v>
      </c>
    </row>
    <row r="4972" spans="2:2" ht="15">
      <c r="B4972" s="181">
        <v>16.108891223827055</v>
      </c>
    </row>
    <row r="4973" spans="2:2" ht="15">
      <c r="B4973" s="181">
        <v>39.758979211010619</v>
      </c>
    </row>
    <row r="4974" spans="2:2" ht="15">
      <c r="B4974" s="181">
        <v>23.629878359678255</v>
      </c>
    </row>
    <row r="4975" spans="2:2" ht="15">
      <c r="B4975" s="181">
        <v>23.823059417355388</v>
      </c>
    </row>
    <row r="4976" spans="2:2" ht="15">
      <c r="B4976" s="181">
        <v>32.295016073291265</v>
      </c>
    </row>
    <row r="4977" spans="2:2" ht="15">
      <c r="B4977" s="181">
        <v>45.762608218857743</v>
      </c>
    </row>
    <row r="4978" spans="2:2" ht="15">
      <c r="B4978" s="181">
        <v>13.007590877734684</v>
      </c>
    </row>
    <row r="4979" spans="2:2" ht="15">
      <c r="B4979" s="181">
        <v>26.2268295416699</v>
      </c>
    </row>
    <row r="4980" spans="2:2" ht="15">
      <c r="B4980" s="181">
        <v>9.6454844686587524</v>
      </c>
    </row>
    <row r="4981" spans="2:2" ht="15">
      <c r="B4981" s="181">
        <v>12.162691217376747</v>
      </c>
    </row>
    <row r="4982" spans="2:2" ht="15">
      <c r="B4982" s="181">
        <v>13.711266994451641</v>
      </c>
    </row>
    <row r="4983" spans="2:2" ht="15">
      <c r="B4983" s="181">
        <v>29.251110436528883</v>
      </c>
    </row>
    <row r="4984" spans="2:2" ht="15">
      <c r="B4984" s="181">
        <v>21.888963786953077</v>
      </c>
    </row>
    <row r="4985" spans="2:2" ht="15">
      <c r="B4985" s="181">
        <v>23.98044622782535</v>
      </c>
    </row>
    <row r="4986" spans="2:2" ht="15">
      <c r="B4986" s="181">
        <v>31.397739548468373</v>
      </c>
    </row>
    <row r="4987" spans="2:2" ht="15">
      <c r="B4987" s="181">
        <v>12.723905059288269</v>
      </c>
    </row>
    <row r="4988" spans="2:2" ht="15">
      <c r="B4988" s="181">
        <v>25.741980898715738</v>
      </c>
    </row>
    <row r="4989" spans="2:2" ht="15">
      <c r="B4989" s="181">
        <v>10.683515676266836</v>
      </c>
    </row>
    <row r="4990" spans="2:2" ht="15">
      <c r="B4990" s="181">
        <v>20.060322517448284</v>
      </c>
    </row>
    <row r="4991" spans="2:2" ht="15">
      <c r="B4991" s="181">
        <v>41.713795689653296</v>
      </c>
    </row>
    <row r="4992" spans="2:2" ht="15">
      <c r="B4992" s="181">
        <v>12.463446951356383</v>
      </c>
    </row>
    <row r="4993" spans="2:2" ht="15">
      <c r="B4993" s="181">
        <v>33.493747388550119</v>
      </c>
    </row>
    <row r="4994" spans="2:2" ht="15">
      <c r="B4994" s="181">
        <v>12.018611145424369</v>
      </c>
    </row>
    <row r="4995" spans="2:2" ht="15">
      <c r="B4995" s="181">
        <v>19.75779280158676</v>
      </c>
    </row>
    <row r="4996" spans="2:2" ht="15">
      <c r="B4996" s="181">
        <v>25.228508888066674</v>
      </c>
    </row>
    <row r="4997" spans="2:2" ht="15">
      <c r="B4997" s="181">
        <v>19.739531411590995</v>
      </c>
    </row>
    <row r="4998" spans="2:2" ht="15">
      <c r="B4998" s="181">
        <v>40.873315134628228</v>
      </c>
    </row>
    <row r="4999" spans="2:2" ht="15">
      <c r="B4999" s="181">
        <v>3.7016536674718279</v>
      </c>
    </row>
    <row r="5000" spans="2:2" ht="15">
      <c r="B5000" s="181">
        <v>19.359552313166347</v>
      </c>
    </row>
    <row r="5001" spans="2:2" ht="15">
      <c r="B5001" s="181">
        <v>7.0464200590756798</v>
      </c>
    </row>
    <row r="5002" spans="2:2" ht="15">
      <c r="B5002" s="181">
        <v>13.581548751262661</v>
      </c>
    </row>
    <row r="5003" spans="2:2" ht="15">
      <c r="B5003" s="181">
        <v>35.716229594462916</v>
      </c>
    </row>
    <row r="5004" spans="2:2" ht="15">
      <c r="B5004" s="181">
        <v>24.589847512828552</v>
      </c>
    </row>
    <row r="5005" spans="2:2" ht="15">
      <c r="B5005" s="181">
        <v>7.0015550546849887</v>
      </c>
    </row>
    <row r="5006" spans="2:2" ht="15">
      <c r="B5006" s="181">
        <v>19.038862999596432</v>
      </c>
    </row>
    <row r="5007" spans="2:2" ht="15">
      <c r="B5007" s="181">
        <v>15.315741652018325</v>
      </c>
    </row>
    <row r="5008" spans="2:2" ht="15">
      <c r="B5008" s="181">
        <v>16.444073354637098</v>
      </c>
    </row>
    <row r="5009" spans="2:2" ht="15">
      <c r="B5009" s="181">
        <v>31.160394698872995</v>
      </c>
    </row>
    <row r="5010" spans="2:2" ht="15">
      <c r="B5010" s="181">
        <v>21.84510084038617</v>
      </c>
    </row>
    <row r="5011" spans="2:2" ht="15">
      <c r="B5011" s="181">
        <v>27.179596680419191</v>
      </c>
    </row>
    <row r="5012" spans="2:2" ht="15">
      <c r="B5012" s="181">
        <v>17.631050707634351</v>
      </c>
    </row>
    <row r="5013" spans="2:2" ht="15">
      <c r="B5013" s="181">
        <v>15.602634649174993</v>
      </c>
    </row>
    <row r="5014" spans="2:2" ht="15">
      <c r="B5014" s="181">
        <v>23.528397041929995</v>
      </c>
    </row>
    <row r="5015" spans="2:2" ht="15">
      <c r="B5015" s="181">
        <v>16.259642334841438</v>
      </c>
    </row>
    <row r="5016" spans="2:2" ht="15">
      <c r="B5016" s="181">
        <v>33.362936651517948</v>
      </c>
    </row>
    <row r="5017" spans="2:2" ht="15">
      <c r="B5017" s="181">
        <v>11.311689364858433</v>
      </c>
    </row>
    <row r="5018" spans="2:2" ht="15">
      <c r="B5018" s="181">
        <v>16.568491523486934</v>
      </c>
    </row>
    <row r="5019" spans="2:2" ht="15">
      <c r="B5019" s="181">
        <v>17.264554331781515</v>
      </c>
    </row>
    <row r="5020" spans="2:2" ht="15">
      <c r="B5020" s="181">
        <v>12.504912713902073</v>
      </c>
    </row>
    <row r="5021" spans="2:2" ht="15">
      <c r="B5021" s="181">
        <v>22.771887141652854</v>
      </c>
    </row>
    <row r="5022" spans="2:2" ht="15">
      <c r="B5022" s="181">
        <v>35.078936558453485</v>
      </c>
    </row>
    <row r="5023" spans="2:2" ht="15">
      <c r="B5023" s="181">
        <v>6.2455527618783373</v>
      </c>
    </row>
    <row r="5024" spans="2:2" ht="15">
      <c r="B5024" s="181">
        <v>10.155667064141584</v>
      </c>
    </row>
    <row r="5025" spans="2:2" ht="15">
      <c r="B5025" s="181">
        <v>17.81481604979</v>
      </c>
    </row>
    <row r="5026" spans="2:2" ht="15">
      <c r="B5026" s="181">
        <v>19.776555371396778</v>
      </c>
    </row>
    <row r="5027" spans="2:2" ht="15">
      <c r="B5027" s="181">
        <v>14.651785303372929</v>
      </c>
    </row>
    <row r="5028" spans="2:2" ht="15">
      <c r="B5028" s="181">
        <v>56.432396410473544</v>
      </c>
    </row>
    <row r="5029" spans="2:2" ht="15">
      <c r="B5029" s="181">
        <v>11.756667263719384</v>
      </c>
    </row>
    <row r="5030" spans="2:2" ht="15">
      <c r="B5030" s="181">
        <v>61.896615042148795</v>
      </c>
    </row>
    <row r="5031" spans="2:2" ht="15">
      <c r="B5031" s="181">
        <v>17.506635867491298</v>
      </c>
    </row>
    <row r="5032" spans="2:2" ht="15">
      <c r="B5032" s="181">
        <v>15.03233131455557</v>
      </c>
    </row>
    <row r="5033" spans="2:2" ht="15">
      <c r="B5033" s="181">
        <v>25.618339397975038</v>
      </c>
    </row>
    <row r="5034" spans="2:2" ht="15">
      <c r="B5034" s="181">
        <v>19.628444053708012</v>
      </c>
    </row>
    <row r="5035" spans="2:2" ht="15">
      <c r="B5035" s="181">
        <v>14.604331339960476</v>
      </c>
    </row>
    <row r="5036" spans="2:2" ht="15">
      <c r="B5036" s="181">
        <v>23.566302029463181</v>
      </c>
    </row>
    <row r="5037" spans="2:2" ht="15">
      <c r="B5037" s="181">
        <v>14.063588702257205</v>
      </c>
    </row>
    <row r="5038" spans="2:2" ht="15">
      <c r="B5038" s="181">
        <v>29.180783346827372</v>
      </c>
    </row>
    <row r="5039" spans="2:2" ht="15">
      <c r="B5039" s="181">
        <v>19.16695096318157</v>
      </c>
    </row>
    <row r="5040" spans="2:2" ht="15">
      <c r="B5040" s="181">
        <v>16.439182251793696</v>
      </c>
    </row>
    <row r="5041" spans="2:2" ht="15">
      <c r="B5041" s="181">
        <v>50.140977319321976</v>
      </c>
    </row>
    <row r="5042" spans="2:2" ht="15">
      <c r="B5042" s="181">
        <v>59.448267808463783</v>
      </c>
    </row>
    <row r="5043" spans="2:2" ht="15">
      <c r="B5043" s="181">
        <v>10.435317853383232</v>
      </c>
    </row>
    <row r="5044" spans="2:2" ht="15">
      <c r="B5044" s="181">
        <v>6.772080438995185</v>
      </c>
    </row>
    <row r="5045" spans="2:2" ht="15">
      <c r="B5045" s="181">
        <v>26.770297708132162</v>
      </c>
    </row>
    <row r="5046" spans="2:2" ht="15">
      <c r="B5046" s="181">
        <v>34.680559375665837</v>
      </c>
    </row>
    <row r="5047" spans="2:2" ht="15">
      <c r="B5047" s="181">
        <v>27.475337879224487</v>
      </c>
    </row>
    <row r="5048" spans="2:2" ht="15">
      <c r="B5048" s="181">
        <v>16.275743243532737</v>
      </c>
    </row>
    <row r="5049" spans="2:2" ht="15">
      <c r="B5049" s="181">
        <v>2.9894332348515658</v>
      </c>
    </row>
    <row r="5050" spans="2:2" ht="15">
      <c r="B5050" s="181">
        <v>52.646284075173604</v>
      </c>
    </row>
    <row r="5051" spans="2:2" ht="15">
      <c r="B5051" s="181">
        <v>11.220539579068774</v>
      </c>
    </row>
    <row r="5052" spans="2:2" ht="15">
      <c r="B5052" s="181">
        <v>24.698042598386873</v>
      </c>
    </row>
    <row r="5053" spans="2:2" ht="15">
      <c r="B5053" s="181">
        <v>35.294897950760912</v>
      </c>
    </row>
    <row r="5054" spans="2:2" ht="15">
      <c r="B5054" s="181">
        <v>22.714724160808085</v>
      </c>
    </row>
    <row r="5055" spans="2:2" ht="15">
      <c r="B5055" s="181">
        <v>32.481095450154022</v>
      </c>
    </row>
    <row r="5056" spans="2:2" ht="15">
      <c r="B5056" s="181">
        <v>12.002046110111992</v>
      </c>
    </row>
    <row r="5057" spans="2:2" ht="15">
      <c r="B5057" s="181">
        <v>18.651538855837735</v>
      </c>
    </row>
    <row r="5058" spans="2:2" ht="15">
      <c r="B5058" s="181">
        <v>10.515622013963872</v>
      </c>
    </row>
    <row r="5059" spans="2:2" ht="15">
      <c r="B5059" s="181">
        <v>15.064004542590393</v>
      </c>
    </row>
    <row r="5060" spans="2:2" ht="15">
      <c r="B5060" s="181">
        <v>9.2999838422552195</v>
      </c>
    </row>
    <row r="5061" spans="2:2" ht="15">
      <c r="B5061" s="181">
        <v>34.07507671802928</v>
      </c>
    </row>
    <row r="5062" spans="2:2" ht="15">
      <c r="B5062" s="181">
        <v>14.288584765394669</v>
      </c>
    </row>
    <row r="5063" spans="2:2" ht="15">
      <c r="B5063" s="181">
        <v>75.467117784142147</v>
      </c>
    </row>
    <row r="5064" spans="2:2" ht="15">
      <c r="B5064" s="181">
        <v>15.242813201939187</v>
      </c>
    </row>
    <row r="5065" spans="2:2" ht="15">
      <c r="B5065" s="181">
        <v>23.665127841042224</v>
      </c>
    </row>
    <row r="5066" spans="2:2" ht="15">
      <c r="B5066" s="181">
        <v>32.07004917220538</v>
      </c>
    </row>
    <row r="5067" spans="2:2" ht="15">
      <c r="B5067" s="181">
        <v>11.356543987383716</v>
      </c>
    </row>
    <row r="5068" spans="2:2" ht="15">
      <c r="B5068" s="181">
        <v>12.557709475361102</v>
      </c>
    </row>
    <row r="5069" spans="2:2" ht="15">
      <c r="B5069" s="181">
        <v>16.186403188323581</v>
      </c>
    </row>
    <row r="5070" spans="2:2" ht="15">
      <c r="B5070" s="181">
        <v>10.353887085953398</v>
      </c>
    </row>
    <row r="5071" spans="2:2" ht="15">
      <c r="B5071" s="181">
        <v>21.957594932537965</v>
      </c>
    </row>
    <row r="5072" spans="2:2" ht="15">
      <c r="B5072" s="181">
        <v>17.698234248951636</v>
      </c>
    </row>
    <row r="5073" spans="2:2" ht="15">
      <c r="B5073" s="181">
        <v>24.539054419788762</v>
      </c>
    </row>
    <row r="5074" spans="2:2" ht="15">
      <c r="B5074" s="181">
        <v>18.636231929489803</v>
      </c>
    </row>
    <row r="5075" spans="2:2" ht="15">
      <c r="B5075" s="181">
        <v>16.792122206318481</v>
      </c>
    </row>
    <row r="5076" spans="2:2" ht="15">
      <c r="B5076" s="181">
        <v>26.774973934215488</v>
      </c>
    </row>
    <row r="5077" spans="2:2" ht="15">
      <c r="B5077" s="181">
        <v>15.27105125777808</v>
      </c>
    </row>
    <row r="5078" spans="2:2" ht="15">
      <c r="B5078" s="181">
        <v>27.43970603005177</v>
      </c>
    </row>
    <row r="5079" spans="2:2" ht="15">
      <c r="B5079" s="181">
        <v>26.357896818863207</v>
      </c>
    </row>
    <row r="5080" spans="2:2" ht="15">
      <c r="B5080" s="181">
        <v>24.066659290505346</v>
      </c>
    </row>
    <row r="5081" spans="2:2" ht="15">
      <c r="B5081" s="181">
        <v>19.195146681729721</v>
      </c>
    </row>
    <row r="5082" spans="2:2" ht="15">
      <c r="B5082" s="181">
        <v>10.825445183911215</v>
      </c>
    </row>
    <row r="5083" spans="2:2" ht="15">
      <c r="B5083" s="181">
        <v>15.817179645239069</v>
      </c>
    </row>
    <row r="5084" spans="2:2" ht="15">
      <c r="B5084" s="181">
        <v>5.8113433137731709</v>
      </c>
    </row>
    <row r="5085" spans="2:2" ht="15">
      <c r="B5085" s="181">
        <v>5.7448554778012895</v>
      </c>
    </row>
    <row r="5086" spans="2:2" ht="15">
      <c r="B5086" s="181">
        <v>7.1824331286754122</v>
      </c>
    </row>
    <row r="5087" spans="2:2" ht="15">
      <c r="B5087" s="181">
        <v>30.891990079937859</v>
      </c>
    </row>
    <row r="5088" spans="2:2" ht="15">
      <c r="B5088" s="181">
        <v>32.023905006886615</v>
      </c>
    </row>
    <row r="5089" spans="2:2" ht="15">
      <c r="B5089" s="181">
        <v>6.6862976998676436</v>
      </c>
    </row>
    <row r="5090" spans="2:2" ht="15">
      <c r="B5090" s="181">
        <v>43.116484376248017</v>
      </c>
    </row>
    <row r="5091" spans="2:2" ht="15">
      <c r="B5091" s="181">
        <v>37.952274696856399</v>
      </c>
    </row>
    <row r="5092" spans="2:2" ht="15">
      <c r="B5092" s="181">
        <v>24.308752745968686</v>
      </c>
    </row>
    <row r="5093" spans="2:2" ht="15">
      <c r="B5093" s="181">
        <v>9.4572570503861382</v>
      </c>
    </row>
    <row r="5094" spans="2:2" ht="15">
      <c r="B5094" s="181">
        <v>12.92922930274179</v>
      </c>
    </row>
    <row r="5095" spans="2:2" ht="15">
      <c r="B5095" s="181">
        <v>15.545710521708942</v>
      </c>
    </row>
    <row r="5096" spans="2:2" ht="15">
      <c r="B5096" s="181">
        <v>9.6494541202002289</v>
      </c>
    </row>
    <row r="5097" spans="2:2" ht="15">
      <c r="B5097" s="181">
        <v>12.945133067212899</v>
      </c>
    </row>
    <row r="5098" spans="2:2" ht="15">
      <c r="B5098" s="181">
        <v>25.187322265203807</v>
      </c>
    </row>
    <row r="5099" spans="2:2" ht="15">
      <c r="B5099" s="181">
        <v>14.166127943787128</v>
      </c>
    </row>
    <row r="5100" spans="2:2" ht="15">
      <c r="B5100" s="181">
        <v>10.193647158409483</v>
      </c>
    </row>
    <row r="5101" spans="2:2" ht="15">
      <c r="B5101" s="181">
        <v>22.375442569965813</v>
      </c>
    </row>
    <row r="5102" spans="2:2" ht="15">
      <c r="B5102" s="181">
        <v>16.248944260594019</v>
      </c>
    </row>
    <row r="5103" spans="2:2" ht="15">
      <c r="B5103" s="181">
        <v>5.9554934380689986</v>
      </c>
    </row>
    <row r="5104" spans="2:2" ht="15">
      <c r="B5104" s="181">
        <v>24.24612857774591</v>
      </c>
    </row>
    <row r="5105" spans="2:2" ht="15">
      <c r="B5105" s="181">
        <v>17.829859227081002</v>
      </c>
    </row>
    <row r="5106" spans="2:2" ht="15">
      <c r="B5106" s="181">
        <v>16.138073986692685</v>
      </c>
    </row>
    <row r="5107" spans="2:2" ht="15">
      <c r="B5107" s="181">
        <v>17.946559513508145</v>
      </c>
    </row>
    <row r="5108" spans="2:2" ht="15">
      <c r="B5108" s="181">
        <v>17.992733965849144</v>
      </c>
    </row>
    <row r="5109" spans="2:2" ht="15">
      <c r="B5109" s="181">
        <v>12.826437086341937</v>
      </c>
    </row>
    <row r="5110" spans="2:2" ht="15">
      <c r="B5110" s="181">
        <v>34.862166847121323</v>
      </c>
    </row>
    <row r="5111" spans="2:2" ht="15">
      <c r="B5111" s="181">
        <v>8.1815544146063743</v>
      </c>
    </row>
    <row r="5112" spans="2:2" ht="15">
      <c r="B5112" s="181">
        <v>14.572792514535566</v>
      </c>
    </row>
    <row r="5113" spans="2:2" ht="15">
      <c r="B5113" s="181">
        <v>25.22489972454898</v>
      </c>
    </row>
    <row r="5114" spans="2:2" ht="15">
      <c r="B5114" s="181">
        <v>15.370852670759071</v>
      </c>
    </row>
    <row r="5115" spans="2:2" ht="15">
      <c r="B5115" s="181">
        <v>15.416103191657333</v>
      </c>
    </row>
    <row r="5116" spans="2:2" ht="15">
      <c r="B5116" s="181">
        <v>17.228851858478883</v>
      </c>
    </row>
    <row r="5117" spans="2:2" ht="15">
      <c r="B5117" s="181">
        <v>17.270290279683735</v>
      </c>
    </row>
    <row r="5118" spans="2:2" ht="15">
      <c r="B5118" s="181">
        <v>19.053837852890961</v>
      </c>
    </row>
    <row r="5119" spans="2:2" ht="15">
      <c r="B5119" s="181">
        <v>13.776302243298941</v>
      </c>
    </row>
    <row r="5120" spans="2:2" ht="15">
      <c r="B5120" s="181">
        <v>20.879033110706242</v>
      </c>
    </row>
    <row r="5121" spans="2:2" ht="15">
      <c r="B5121" s="181">
        <v>33.096722649822318</v>
      </c>
    </row>
    <row r="5122" spans="2:2" ht="15">
      <c r="B5122" s="181">
        <v>32.610870509289867</v>
      </c>
    </row>
    <row r="5123" spans="2:2" ht="15">
      <c r="B5123" s="181">
        <v>16.250095991205299</v>
      </c>
    </row>
    <row r="5124" spans="2:2" ht="15">
      <c r="B5124" s="181">
        <v>14.516498639464141</v>
      </c>
    </row>
    <row r="5125" spans="2:2" ht="15">
      <c r="B5125" s="181">
        <v>44.015941395067237</v>
      </c>
    </row>
    <row r="5126" spans="2:2" ht="15">
      <c r="B5126" s="181">
        <v>21.475218540618485</v>
      </c>
    </row>
    <row r="5127" spans="2:2" ht="15">
      <c r="B5127" s="181">
        <v>50.436031737945981</v>
      </c>
    </row>
    <row r="5128" spans="2:2" ht="15">
      <c r="B5128" s="181">
        <v>15.542773008653482</v>
      </c>
    </row>
    <row r="5129" spans="2:2" ht="15">
      <c r="B5129" s="181">
        <v>16.05287737407777</v>
      </c>
    </row>
    <row r="5130" spans="2:2" ht="15">
      <c r="B5130" s="181">
        <v>12.713935572544115</v>
      </c>
    </row>
    <row r="5131" spans="2:2" ht="15">
      <c r="B5131" s="181">
        <v>14.885469233461984</v>
      </c>
    </row>
    <row r="5132" spans="2:2" ht="15">
      <c r="B5132" s="181">
        <v>15.498444859934045</v>
      </c>
    </row>
    <row r="5133" spans="2:2" ht="15">
      <c r="B5133" s="181">
        <v>12.275639498621368</v>
      </c>
    </row>
    <row r="5134" spans="2:2" ht="15">
      <c r="B5134" s="181">
        <v>9.7097887687545743</v>
      </c>
    </row>
    <row r="5135" spans="2:2" ht="15">
      <c r="B5135" s="181">
        <v>48.454337970278324</v>
      </c>
    </row>
    <row r="5136" spans="2:2" ht="15">
      <c r="B5136" s="181">
        <v>19.769661743770325</v>
      </c>
    </row>
    <row r="5137" spans="2:2" ht="15">
      <c r="B5137" s="181">
        <v>10.163542487147346</v>
      </c>
    </row>
    <row r="5138" spans="2:2" ht="15">
      <c r="B5138" s="181">
        <v>13.950218606443519</v>
      </c>
    </row>
    <row r="5139" spans="2:2" ht="15">
      <c r="B5139" s="181">
        <v>36.192499596260127</v>
      </c>
    </row>
    <row r="5140" spans="2:2" ht="15">
      <c r="B5140" s="181">
        <v>16.249542540011088</v>
      </c>
    </row>
    <row r="5141" spans="2:2" ht="15">
      <c r="B5141" s="181">
        <v>10.255777065017124</v>
      </c>
    </row>
    <row r="5142" spans="2:2" ht="15">
      <c r="B5142" s="181">
        <v>11.042158353165789</v>
      </c>
    </row>
    <row r="5143" spans="2:2" ht="15">
      <c r="B5143" s="181">
        <v>16.669035979495611</v>
      </c>
    </row>
    <row r="5144" spans="2:2" ht="15">
      <c r="B5144" s="181">
        <v>27.534085709737042</v>
      </c>
    </row>
    <row r="5145" spans="2:2" ht="15">
      <c r="B5145" s="181">
        <v>6.0749910354417054</v>
      </c>
    </row>
    <row r="5146" spans="2:2" ht="15">
      <c r="B5146" s="181">
        <v>29.977242921157547</v>
      </c>
    </row>
    <row r="5147" spans="2:2" ht="15">
      <c r="B5147" s="181">
        <v>14.45766270615675</v>
      </c>
    </row>
    <row r="5148" spans="2:2" ht="15">
      <c r="B5148" s="181">
        <v>14.005241779328955</v>
      </c>
    </row>
    <row r="5149" spans="2:2" ht="15">
      <c r="B5149" s="181">
        <v>22.002662365310826</v>
      </c>
    </row>
    <row r="5150" spans="2:2" ht="15">
      <c r="B5150" s="181">
        <v>12.855303641560132</v>
      </c>
    </row>
    <row r="5151" spans="2:2" ht="15">
      <c r="B5151" s="181">
        <v>13.140070989791926</v>
      </c>
    </row>
    <row r="5152" spans="2:2" ht="15">
      <c r="B5152" s="181">
        <v>14.807061830467537</v>
      </c>
    </row>
    <row r="5153" spans="2:2" ht="15">
      <c r="B5153" s="181">
        <v>15.659872814274269</v>
      </c>
    </row>
    <row r="5154" spans="2:2" ht="15">
      <c r="B5154" s="181">
        <v>17.360911787255873</v>
      </c>
    </row>
    <row r="5155" spans="2:2" ht="15">
      <c r="B5155" s="181">
        <v>13.173127108068204</v>
      </c>
    </row>
    <row r="5156" spans="2:2" ht="15">
      <c r="B5156" s="181">
        <v>6.2420429922043299</v>
      </c>
    </row>
    <row r="5157" spans="2:2" ht="15">
      <c r="B5157" s="181">
        <v>11.689605084802025</v>
      </c>
    </row>
    <row r="5158" spans="2:2" ht="15">
      <c r="B5158" s="181">
        <v>11.457902383364528</v>
      </c>
    </row>
    <row r="5159" spans="2:2" ht="15">
      <c r="B5159" s="181">
        <v>8.7515532039781956</v>
      </c>
    </row>
    <row r="5160" spans="2:2" ht="15">
      <c r="B5160" s="181">
        <v>20.615269326896964</v>
      </c>
    </row>
    <row r="5161" spans="2:2" ht="15">
      <c r="B5161" s="181">
        <v>21.514022737135669</v>
      </c>
    </row>
    <row r="5162" spans="2:2" ht="15">
      <c r="B5162" s="181">
        <v>13.230312323449338</v>
      </c>
    </row>
    <row r="5163" spans="2:2" ht="15">
      <c r="B5163" s="181">
        <v>13.639963282658179</v>
      </c>
    </row>
    <row r="5164" spans="2:2" ht="15">
      <c r="B5164" s="181">
        <v>14.414899185661124</v>
      </c>
    </row>
    <row r="5165" spans="2:2" ht="15">
      <c r="B5165" s="181">
        <v>12.504051268017276</v>
      </c>
    </row>
    <row r="5166" spans="2:2" ht="15">
      <c r="B5166" s="181">
        <v>35.310856808776599</v>
      </c>
    </row>
    <row r="5167" spans="2:2" ht="15">
      <c r="B5167" s="181">
        <v>20.982042783787495</v>
      </c>
    </row>
    <row r="5168" spans="2:2" ht="15">
      <c r="B5168" s="181">
        <v>14.605977379165417</v>
      </c>
    </row>
    <row r="5169" spans="2:2" ht="15">
      <c r="B5169" s="181">
        <v>37.159268268933161</v>
      </c>
    </row>
    <row r="5170" spans="2:2" ht="15">
      <c r="B5170" s="181">
        <v>8.3111042527302974</v>
      </c>
    </row>
    <row r="5171" spans="2:2" ht="15">
      <c r="B5171" s="181">
        <v>17.298940966935856</v>
      </c>
    </row>
    <row r="5172" spans="2:2" ht="15">
      <c r="B5172" s="181">
        <v>13.492727252749434</v>
      </c>
    </row>
    <row r="5173" spans="2:2" ht="15">
      <c r="B5173" s="181">
        <v>14.400194717449025</v>
      </c>
    </row>
    <row r="5174" spans="2:2" ht="15">
      <c r="B5174" s="181">
        <v>20.048730485071047</v>
      </c>
    </row>
    <row r="5175" spans="2:2" ht="15">
      <c r="B5175" s="181">
        <v>28.122069489529238</v>
      </c>
    </row>
    <row r="5176" spans="2:2" ht="15">
      <c r="B5176" s="181">
        <v>13.860090547139992</v>
      </c>
    </row>
    <row r="5177" spans="2:2" ht="15">
      <c r="B5177" s="181">
        <v>17.524568474091978</v>
      </c>
    </row>
    <row r="5178" spans="2:2" ht="15">
      <c r="B5178" s="181">
        <v>13.63976870076117</v>
      </c>
    </row>
    <row r="5179" spans="2:2" ht="15">
      <c r="B5179" s="181">
        <v>17.048405115343044</v>
      </c>
    </row>
    <row r="5180" spans="2:2" ht="15">
      <c r="B5180" s="181">
        <v>6.4358708497302342</v>
      </c>
    </row>
    <row r="5181" spans="2:2" ht="15">
      <c r="B5181" s="181">
        <v>31.425409260698039</v>
      </c>
    </row>
    <row r="5182" spans="2:2" ht="15">
      <c r="B5182" s="181">
        <v>22.521939753754832</v>
      </c>
    </row>
    <row r="5183" spans="2:2" ht="15">
      <c r="B5183" s="181">
        <v>14.733064989368389</v>
      </c>
    </row>
    <row r="5184" spans="2:2" ht="15">
      <c r="B5184" s="181">
        <v>22.983231955559322</v>
      </c>
    </row>
    <row r="5185" spans="2:2" ht="15">
      <c r="B5185" s="181">
        <v>7.9605489064573467</v>
      </c>
    </row>
    <row r="5186" spans="2:2" ht="15">
      <c r="B5186" s="181">
        <v>16.505001937372825</v>
      </c>
    </row>
    <row r="5187" spans="2:2" ht="15">
      <c r="B5187" s="181">
        <v>7.7431614255307331</v>
      </c>
    </row>
    <row r="5188" spans="2:2" ht="15">
      <c r="B5188" s="181">
        <v>10.389090832667428</v>
      </c>
    </row>
    <row r="5189" spans="2:2" ht="15">
      <c r="B5189" s="181">
        <v>25.292720455354253</v>
      </c>
    </row>
    <row r="5190" spans="2:2" ht="15">
      <c r="B5190" s="181">
        <v>37.359852354474874</v>
      </c>
    </row>
    <row r="5191" spans="2:2" ht="15">
      <c r="B5191" s="181">
        <v>18.199936430625947</v>
      </c>
    </row>
    <row r="5192" spans="2:2" ht="15">
      <c r="B5192" s="181">
        <v>25.571859123955235</v>
      </c>
    </row>
    <row r="5193" spans="2:2" ht="15">
      <c r="B5193" s="181">
        <v>7.6580204623771886</v>
      </c>
    </row>
    <row r="5194" spans="2:2" ht="15">
      <c r="B5194" s="181">
        <v>17.957759700358842</v>
      </c>
    </row>
    <row r="5195" spans="2:2" ht="15">
      <c r="B5195" s="181">
        <v>27.818228406165346</v>
      </c>
    </row>
    <row r="5196" spans="2:2" ht="15">
      <c r="B5196" s="181">
        <v>10.4922923661507</v>
      </c>
    </row>
    <row r="5197" spans="2:2" ht="15">
      <c r="B5197" s="181">
        <v>30.10101709303979</v>
      </c>
    </row>
    <row r="5198" spans="2:2" ht="15">
      <c r="B5198" s="181">
        <v>70.978547824805119</v>
      </c>
    </row>
    <row r="5199" spans="2:2" ht="15">
      <c r="B5199" s="181">
        <v>17.395250096675777</v>
      </c>
    </row>
    <row r="5200" spans="2:2" ht="15">
      <c r="B5200" s="181">
        <v>20.755228802192057</v>
      </c>
    </row>
    <row r="5201" spans="2:2" ht="15">
      <c r="B5201" s="181">
        <v>21.892882409194552</v>
      </c>
    </row>
    <row r="5202" spans="2:2" ht="15">
      <c r="B5202" s="181">
        <v>21.559280640174808</v>
      </c>
    </row>
    <row r="5203" spans="2:2" ht="15">
      <c r="B5203" s="181">
        <v>11.598363095814356</v>
      </c>
    </row>
    <row r="5204" spans="2:2" ht="15">
      <c r="B5204" s="181">
        <v>10.105645926335477</v>
      </c>
    </row>
    <row r="5205" spans="2:2" ht="15">
      <c r="B5205" s="181">
        <v>11.463030778258927</v>
      </c>
    </row>
    <row r="5206" spans="2:2" ht="15">
      <c r="B5206" s="181">
        <v>20.060179526772487</v>
      </c>
    </row>
    <row r="5207" spans="2:2" ht="15">
      <c r="B5207" s="181">
        <v>32.710764312297435</v>
      </c>
    </row>
    <row r="5208" spans="2:2" ht="15">
      <c r="B5208" s="181">
        <v>38.009866793305726</v>
      </c>
    </row>
    <row r="5209" spans="2:2" ht="15">
      <c r="B5209" s="181">
        <v>28.943699722157408</v>
      </c>
    </row>
    <row r="5210" spans="2:2" ht="15">
      <c r="B5210" s="181">
        <v>20.490636344963729</v>
      </c>
    </row>
    <row r="5211" spans="2:2" ht="15">
      <c r="B5211" s="181">
        <v>11.033377975488406</v>
      </c>
    </row>
    <row r="5212" spans="2:2" ht="15">
      <c r="B5212" s="181">
        <v>22.03403365779668</v>
      </c>
    </row>
    <row r="5213" spans="2:2" ht="15">
      <c r="B5213" s="181">
        <v>10.334006947202621</v>
      </c>
    </row>
    <row r="5214" spans="2:2" ht="15">
      <c r="B5214" s="181">
        <v>26.225044800128991</v>
      </c>
    </row>
    <row r="5215" spans="2:2" ht="15">
      <c r="B5215" s="181">
        <v>24.105737107692345</v>
      </c>
    </row>
    <row r="5216" spans="2:2" ht="15">
      <c r="B5216" s="181">
        <v>18.858550958569545</v>
      </c>
    </row>
    <row r="5217" spans="2:2" ht="15">
      <c r="B5217" s="181">
        <v>8.1706683084018259</v>
      </c>
    </row>
    <row r="5218" spans="2:2" ht="15">
      <c r="B5218" s="181">
        <v>17.958376375803631</v>
      </c>
    </row>
    <row r="5219" spans="2:2" ht="15">
      <c r="B5219" s="181">
        <v>29.999257117872784</v>
      </c>
    </row>
    <row r="5220" spans="2:2" ht="15">
      <c r="B5220" s="181">
        <v>32.731570254849686</v>
      </c>
    </row>
    <row r="5221" spans="2:2" ht="15">
      <c r="B5221" s="181">
        <v>23.110587407058159</v>
      </c>
    </row>
    <row r="5222" spans="2:2" ht="15">
      <c r="B5222" s="181">
        <v>17.733087816078257</v>
      </c>
    </row>
    <row r="5223" spans="2:2" ht="15">
      <c r="B5223" s="181">
        <v>10.64123356126372</v>
      </c>
    </row>
    <row r="5224" spans="2:2" ht="15">
      <c r="B5224" s="181">
        <v>31.299620224013569</v>
      </c>
    </row>
    <row r="5225" spans="2:2" ht="15">
      <c r="B5225" s="181">
        <v>14.408246008491663</v>
      </c>
    </row>
    <row r="5226" spans="2:2" ht="15">
      <c r="B5226" s="181">
        <v>13.48600882427974</v>
      </c>
    </row>
    <row r="5227" spans="2:2" ht="15">
      <c r="B5227" s="181">
        <v>5.4671641661943902</v>
      </c>
    </row>
    <row r="5228" spans="2:2" ht="15">
      <c r="B5228" s="181">
        <v>18.898797910722298</v>
      </c>
    </row>
    <row r="5229" spans="2:2" ht="15">
      <c r="B5229" s="181">
        <v>8.9038209768151706</v>
      </c>
    </row>
    <row r="5230" spans="2:2" ht="15">
      <c r="B5230" s="181">
        <v>24.235305495309852</v>
      </c>
    </row>
    <row r="5231" spans="2:2" ht="15">
      <c r="B5231" s="181">
        <v>8.571581773061526</v>
      </c>
    </row>
    <row r="5232" spans="2:2" ht="15">
      <c r="B5232" s="181">
        <v>38.051576826418732</v>
      </c>
    </row>
    <row r="5233" spans="2:2" ht="15">
      <c r="B5233" s="181">
        <v>23.971418331182363</v>
      </c>
    </row>
    <row r="5234" spans="2:2" ht="15">
      <c r="B5234" s="181">
        <v>19.681703130122067</v>
      </c>
    </row>
    <row r="5235" spans="2:2" ht="15">
      <c r="B5235" s="181">
        <v>9.0462001583878759</v>
      </c>
    </row>
    <row r="5236" spans="2:2" ht="15">
      <c r="B5236" s="181">
        <v>23.501136928186586</v>
      </c>
    </row>
    <row r="5237" spans="2:2" ht="15">
      <c r="B5237" s="181">
        <v>15.799907774499655</v>
      </c>
    </row>
    <row r="5238" spans="2:2" ht="15">
      <c r="B5238" s="181">
        <v>26.091054417742637</v>
      </c>
    </row>
    <row r="5239" spans="2:2" ht="15">
      <c r="B5239" s="181">
        <v>30.277202128904882</v>
      </c>
    </row>
    <row r="5240" spans="2:2" ht="15">
      <c r="B5240" s="181">
        <v>22.677540584244539</v>
      </c>
    </row>
    <row r="5241" spans="2:2" ht="15">
      <c r="B5241" s="181">
        <v>10.093359995573756</v>
      </c>
    </row>
    <row r="5242" spans="2:2" ht="15">
      <c r="B5242" s="181">
        <v>11.237259738954153</v>
      </c>
    </row>
    <row r="5243" spans="2:2" ht="15">
      <c r="B5243" s="181">
        <v>18.563021635933417</v>
      </c>
    </row>
    <row r="5244" spans="2:2" ht="15">
      <c r="B5244" s="181">
        <v>9.2691531236184765</v>
      </c>
    </row>
    <row r="5245" spans="2:2" ht="15">
      <c r="B5245" s="181">
        <v>39.446743020530022</v>
      </c>
    </row>
    <row r="5246" spans="2:2" ht="15">
      <c r="B5246" s="181">
        <v>10.684391885833513</v>
      </c>
    </row>
    <row r="5247" spans="2:2" ht="15">
      <c r="B5247" s="181">
        <v>14.996940110927875</v>
      </c>
    </row>
    <row r="5248" spans="2:2" ht="15">
      <c r="B5248" s="181">
        <v>70.121941046662315</v>
      </c>
    </row>
    <row r="5249" spans="2:2" ht="15">
      <c r="B5249" s="181">
        <v>26.985267684658183</v>
      </c>
    </row>
    <row r="5250" spans="2:2" ht="15">
      <c r="B5250" s="181">
        <v>13.772551055292794</v>
      </c>
    </row>
    <row r="5251" spans="2:2" ht="15">
      <c r="B5251" s="181">
        <v>16.187936984659242</v>
      </c>
    </row>
    <row r="5252" spans="2:2" ht="15">
      <c r="B5252" s="181">
        <v>17.992306046710659</v>
      </c>
    </row>
    <row r="5253" spans="2:2" ht="15">
      <c r="B5253" s="181">
        <v>11.493752714657942</v>
      </c>
    </row>
    <row r="5254" spans="2:2" ht="15">
      <c r="B5254" s="181">
        <v>13.362223307508557</v>
      </c>
    </row>
    <row r="5255" spans="2:2" ht="15">
      <c r="B5255" s="181">
        <v>17.161831390758408</v>
      </c>
    </row>
    <row r="5256" spans="2:2" ht="15">
      <c r="B5256" s="181">
        <v>35.106398201476949</v>
      </c>
    </row>
    <row r="5257" spans="2:2" ht="15">
      <c r="B5257" s="181">
        <v>14.57055105410209</v>
      </c>
    </row>
    <row r="5258" spans="2:2" ht="15">
      <c r="B5258" s="181">
        <v>10.055800014324317</v>
      </c>
    </row>
    <row r="5259" spans="2:2" ht="15">
      <c r="B5259" s="181">
        <v>16.040116836519569</v>
      </c>
    </row>
    <row r="5260" spans="2:2" ht="15">
      <c r="B5260" s="181">
        <v>7.8788968560823882</v>
      </c>
    </row>
    <row r="5261" spans="2:2" ht="15">
      <c r="B5261" s="181">
        <v>16.924329956812617</v>
      </c>
    </row>
    <row r="5262" spans="2:2" ht="15">
      <c r="B5262" s="181">
        <v>45.53989031602228</v>
      </c>
    </row>
    <row r="5263" spans="2:2" ht="15">
      <c r="B5263" s="181">
        <v>12.581701247556749</v>
      </c>
    </row>
    <row r="5264" spans="2:2" ht="15">
      <c r="B5264" s="181">
        <v>37.18256015585542</v>
      </c>
    </row>
    <row r="5265" spans="2:2" ht="15">
      <c r="B5265" s="181">
        <v>38.980057450095607</v>
      </c>
    </row>
    <row r="5266" spans="2:2" ht="15">
      <c r="B5266" s="181">
        <v>24.39133893116885</v>
      </c>
    </row>
    <row r="5267" spans="2:2" ht="15">
      <c r="B5267" s="181">
        <v>14.227771706639333</v>
      </c>
    </row>
    <row r="5268" spans="2:2" ht="15">
      <c r="B5268" s="181">
        <v>17.241458297809093</v>
      </c>
    </row>
    <row r="5269" spans="2:2" ht="15">
      <c r="B5269" s="181">
        <v>16.968077566016401</v>
      </c>
    </row>
    <row r="5270" spans="2:2" ht="15">
      <c r="B5270" s="181">
        <v>12.927739742412347</v>
      </c>
    </row>
    <row r="5271" spans="2:2" ht="15">
      <c r="B5271" s="181">
        <v>47.756318621454774</v>
      </c>
    </row>
    <row r="5272" spans="2:2" ht="15">
      <c r="B5272" s="181">
        <v>18.305067586191104</v>
      </c>
    </row>
    <row r="5273" spans="2:2" ht="15">
      <c r="B5273" s="181">
        <v>17.727507079049445</v>
      </c>
    </row>
    <row r="5274" spans="2:2" ht="15">
      <c r="B5274" s="181">
        <v>16.816314220777933</v>
      </c>
    </row>
    <row r="5275" spans="2:2" ht="15">
      <c r="B5275" s="181">
        <v>14.416915992242606</v>
      </c>
    </row>
    <row r="5276" spans="2:2" ht="15">
      <c r="B5276" s="181">
        <v>7.3718513045021652</v>
      </c>
    </row>
    <row r="5277" spans="2:2" ht="15">
      <c r="B5277" s="181">
        <v>50.996455183645288</v>
      </c>
    </row>
    <row r="5278" spans="2:2" ht="15">
      <c r="B5278" s="181">
        <v>16.80619958187161</v>
      </c>
    </row>
    <row r="5279" spans="2:2" ht="15">
      <c r="B5279" s="181">
        <v>29.325754057414475</v>
      </c>
    </row>
    <row r="5280" spans="2:2" ht="15">
      <c r="B5280" s="181">
        <v>14.013859175838711</v>
      </c>
    </row>
    <row r="5281" spans="2:2" ht="15">
      <c r="B5281" s="181">
        <v>15.341720613974372</v>
      </c>
    </row>
    <row r="5282" spans="2:2" ht="15">
      <c r="B5282" s="181">
        <v>19.215823374830585</v>
      </c>
    </row>
    <row r="5283" spans="2:2" ht="15">
      <c r="B5283" s="181">
        <v>16.860611931599237</v>
      </c>
    </row>
    <row r="5284" spans="2:2" ht="15">
      <c r="B5284" s="181">
        <v>17.140723208998956</v>
      </c>
    </row>
    <row r="5285" spans="2:2" ht="15">
      <c r="B5285" s="181">
        <v>5.2603294435339345</v>
      </c>
    </row>
    <row r="5286" spans="2:2" ht="15">
      <c r="B5286" s="181">
        <v>17.375139454668339</v>
      </c>
    </row>
    <row r="5287" spans="2:2" ht="15">
      <c r="B5287" s="181">
        <v>10.647168910283053</v>
      </c>
    </row>
    <row r="5288" spans="2:2" ht="15">
      <c r="B5288" s="181">
        <v>28.371324306821496</v>
      </c>
    </row>
    <row r="5289" spans="2:2" ht="15">
      <c r="B5289" s="181">
        <v>13.154158302212068</v>
      </c>
    </row>
    <row r="5290" spans="2:2" ht="15">
      <c r="B5290" s="181">
        <v>23.987543809703897</v>
      </c>
    </row>
    <row r="5291" spans="2:2" ht="15">
      <c r="B5291" s="181">
        <v>16.659224138547504</v>
      </c>
    </row>
    <row r="5292" spans="2:2" ht="15">
      <c r="B5292" s="181">
        <v>38.293742270093055</v>
      </c>
    </row>
    <row r="5293" spans="2:2" ht="15">
      <c r="B5293" s="181">
        <v>12.69310853974172</v>
      </c>
    </row>
    <row r="5294" spans="2:2" ht="15">
      <c r="B5294" s="181">
        <v>11.855767134160763</v>
      </c>
    </row>
    <row r="5295" spans="2:2" ht="15">
      <c r="B5295" s="181">
        <v>42.931198590458074</v>
      </c>
    </row>
    <row r="5296" spans="2:2" ht="15">
      <c r="B5296" s="181">
        <v>4.7059434608974664</v>
      </c>
    </row>
    <row r="5297" spans="2:2" ht="15">
      <c r="B5297" s="181">
        <v>15.696968632963099</v>
      </c>
    </row>
    <row r="5298" spans="2:2" ht="15">
      <c r="B5298" s="181">
        <v>14.123437577002411</v>
      </c>
    </row>
    <row r="5299" spans="2:2" ht="15">
      <c r="B5299" s="181">
        <v>18.185469975599666</v>
      </c>
    </row>
    <row r="5300" spans="2:2" ht="15">
      <c r="B5300" s="181">
        <v>22.668253214039165</v>
      </c>
    </row>
    <row r="5301" spans="2:2" ht="15">
      <c r="B5301" s="181">
        <v>12.438926377149496</v>
      </c>
    </row>
    <row r="5302" spans="2:2" ht="15">
      <c r="B5302" s="181">
        <v>12.705378145606405</v>
      </c>
    </row>
    <row r="5303" spans="2:2" ht="15">
      <c r="B5303" s="181">
        <v>21.953169137435101</v>
      </c>
    </row>
    <row r="5304" spans="2:2" ht="15">
      <c r="B5304" s="181">
        <v>27.798151437326634</v>
      </c>
    </row>
    <row r="5305" spans="2:2" ht="15">
      <c r="B5305" s="181">
        <v>5.2739220288996309</v>
      </c>
    </row>
    <row r="5306" spans="2:2" ht="15">
      <c r="B5306" s="181">
        <v>8.1378857820810531</v>
      </c>
    </row>
    <row r="5307" spans="2:2" ht="15">
      <c r="B5307" s="181">
        <v>31.886340833822103</v>
      </c>
    </row>
    <row r="5308" spans="2:2" ht="15">
      <c r="B5308" s="181">
        <v>39.191475314715674</v>
      </c>
    </row>
    <row r="5309" spans="2:2" ht="15">
      <c r="B5309" s="181">
        <v>24.375101422888477</v>
      </c>
    </row>
    <row r="5310" spans="2:2" ht="15">
      <c r="B5310" s="181">
        <v>12.400612821350018</v>
      </c>
    </row>
    <row r="5311" spans="2:2" ht="15">
      <c r="B5311" s="181">
        <v>13.280593994761777</v>
      </c>
    </row>
    <row r="5312" spans="2:2" ht="15">
      <c r="B5312" s="181">
        <v>30.507593753325281</v>
      </c>
    </row>
    <row r="5313" spans="2:2" ht="15">
      <c r="B5313" s="181">
        <v>29.014824485719721</v>
      </c>
    </row>
    <row r="5314" spans="2:2" ht="15">
      <c r="B5314" s="181">
        <v>11.584418773367217</v>
      </c>
    </row>
    <row r="5315" spans="2:2" ht="15">
      <c r="B5315" s="181">
        <v>13.850924572137673</v>
      </c>
    </row>
    <row r="5316" spans="2:2" ht="15">
      <c r="B5316" s="181">
        <v>5.5215687599509264</v>
      </c>
    </row>
    <row r="5317" spans="2:2" ht="15">
      <c r="B5317" s="181">
        <v>16.929551169995147</v>
      </c>
    </row>
    <row r="5318" spans="2:2" ht="15">
      <c r="B5318" s="181">
        <v>26.239888124383114</v>
      </c>
    </row>
    <row r="5319" spans="2:2" ht="15">
      <c r="B5319" s="181">
        <v>33.900793038512276</v>
      </c>
    </row>
    <row r="5320" spans="2:2" ht="15">
      <c r="B5320" s="181">
        <v>10.786111202991249</v>
      </c>
    </row>
    <row r="5321" spans="2:2" ht="15">
      <c r="B5321" s="181">
        <v>14.961201276400036</v>
      </c>
    </row>
    <row r="5322" spans="2:2" ht="15">
      <c r="B5322" s="181">
        <v>43.583142148658098</v>
      </c>
    </row>
    <row r="5323" spans="2:2" ht="15">
      <c r="B5323" s="181">
        <v>35.731239273358241</v>
      </c>
    </row>
    <row r="5324" spans="2:2" ht="15">
      <c r="B5324" s="181">
        <v>13.291867076473512</v>
      </c>
    </row>
    <row r="5325" spans="2:2" ht="15">
      <c r="B5325" s="181">
        <v>6.3148228607646786</v>
      </c>
    </row>
    <row r="5326" spans="2:2" ht="15">
      <c r="B5326" s="181">
        <v>11.722330502965633</v>
      </c>
    </row>
    <row r="5327" spans="2:2" ht="15">
      <c r="B5327" s="181">
        <v>24.090224743528122</v>
      </c>
    </row>
    <row r="5328" spans="2:2" ht="15">
      <c r="B5328" s="181">
        <v>31.031277597856029</v>
      </c>
    </row>
    <row r="5329" spans="2:2" ht="15">
      <c r="B5329" s="181">
        <v>11.64249177405139</v>
      </c>
    </row>
    <row r="5330" spans="2:2" ht="15">
      <c r="B5330" s="181">
        <v>21.527313199460977</v>
      </c>
    </row>
    <row r="5331" spans="2:2" ht="15">
      <c r="B5331" s="181">
        <v>16.169955290269574</v>
      </c>
    </row>
    <row r="5332" spans="2:2" ht="15">
      <c r="B5332" s="181">
        <v>72.283281442407187</v>
      </c>
    </row>
    <row r="5333" spans="2:2" ht="15">
      <c r="B5333" s="181">
        <v>23.533623566165339</v>
      </c>
    </row>
    <row r="5334" spans="2:2" ht="15">
      <c r="B5334" s="181">
        <v>31.8836818969056</v>
      </c>
    </row>
    <row r="5335" spans="2:2" ht="15">
      <c r="B5335" s="181">
        <v>9.7290583500831023</v>
      </c>
    </row>
    <row r="5336" spans="2:2" ht="15">
      <c r="B5336" s="181">
        <v>3.7776588592313187</v>
      </c>
    </row>
    <row r="5337" spans="2:2" ht="15">
      <c r="B5337" s="181">
        <v>8.5753349861518711</v>
      </c>
    </row>
    <row r="5338" spans="2:2" ht="15">
      <c r="B5338" s="181">
        <v>19.741575265113646</v>
      </c>
    </row>
    <row r="5339" spans="2:2" ht="15">
      <c r="B5339" s="181">
        <v>13.193181830190698</v>
      </c>
    </row>
    <row r="5340" spans="2:2" ht="15">
      <c r="B5340" s="181">
        <v>27.914561207721697</v>
      </c>
    </row>
    <row r="5341" spans="2:2" ht="15">
      <c r="B5341" s="181">
        <v>18.416739690220005</v>
      </c>
    </row>
    <row r="5342" spans="2:2" ht="15">
      <c r="B5342" s="181">
        <v>30.024114007225947</v>
      </c>
    </row>
    <row r="5343" spans="2:2" ht="15">
      <c r="B5343" s="181">
        <v>10.134782574375608</v>
      </c>
    </row>
    <row r="5344" spans="2:2" ht="15">
      <c r="B5344" s="181">
        <v>25.336693697082886</v>
      </c>
    </row>
    <row r="5345" spans="2:2" ht="15">
      <c r="B5345" s="181">
        <v>6.7560209688790582</v>
      </c>
    </row>
    <row r="5346" spans="2:2" ht="15">
      <c r="B5346" s="181">
        <v>51.975546222956147</v>
      </c>
    </row>
    <row r="5347" spans="2:2" ht="15">
      <c r="B5347" s="181">
        <v>15.096832699886539</v>
      </c>
    </row>
    <row r="5348" spans="2:2" ht="15">
      <c r="B5348" s="181">
        <v>14.72281108658634</v>
      </c>
    </row>
    <row r="5349" spans="2:2" ht="15">
      <c r="B5349" s="181">
        <v>33.192045259461409</v>
      </c>
    </row>
    <row r="5350" spans="2:2" ht="15">
      <c r="B5350" s="181">
        <v>17.277315502373348</v>
      </c>
    </row>
    <row r="5351" spans="2:2" ht="15">
      <c r="B5351" s="181">
        <v>18.969532780228391</v>
      </c>
    </row>
    <row r="5352" spans="2:2" ht="15">
      <c r="B5352" s="181">
        <v>11.092832762322775</v>
      </c>
    </row>
    <row r="5353" spans="2:2" ht="15">
      <c r="B5353" s="181">
        <v>18.599630683220589</v>
      </c>
    </row>
    <row r="5354" spans="2:2" ht="15">
      <c r="B5354" s="181">
        <v>17.682788937414561</v>
      </c>
    </row>
    <row r="5355" spans="2:2" ht="15">
      <c r="B5355" s="181">
        <v>11.010136761670346</v>
      </c>
    </row>
    <row r="5356" spans="2:2" ht="15">
      <c r="B5356" s="181">
        <v>16.383629423091413</v>
      </c>
    </row>
    <row r="5357" spans="2:2" ht="15">
      <c r="B5357" s="181">
        <v>36.151138248193377</v>
      </c>
    </row>
    <row r="5358" spans="2:2" ht="15">
      <c r="B5358" s="181">
        <v>27.388216675690014</v>
      </c>
    </row>
    <row r="5359" spans="2:2" ht="15">
      <c r="B5359" s="181">
        <v>29.513576381295476</v>
      </c>
    </row>
    <row r="5360" spans="2:2" ht="15">
      <c r="B5360" s="181">
        <v>14.702391186805425</v>
      </c>
    </row>
    <row r="5361" spans="2:2" ht="15">
      <c r="B5361" s="181">
        <v>21.069191192790282</v>
      </c>
    </row>
    <row r="5362" spans="2:2" ht="15">
      <c r="B5362" s="181">
        <v>7.163305283434438</v>
      </c>
    </row>
    <row r="5363" spans="2:2" ht="15">
      <c r="B5363" s="181">
        <v>31.123953136400182</v>
      </c>
    </row>
    <row r="5364" spans="2:2" ht="15">
      <c r="B5364" s="181">
        <v>17.665964087507191</v>
      </c>
    </row>
    <row r="5365" spans="2:2" ht="15">
      <c r="B5365" s="181">
        <v>49.278094219643705</v>
      </c>
    </row>
    <row r="5366" spans="2:2" ht="15">
      <c r="B5366" s="181">
        <v>41.308717654063557</v>
      </c>
    </row>
    <row r="5367" spans="2:2" ht="15">
      <c r="B5367" s="181">
        <v>7.5301857265073799</v>
      </c>
    </row>
    <row r="5368" spans="2:2" ht="15">
      <c r="B5368" s="181">
        <v>8.8752331359427554</v>
      </c>
    </row>
    <row r="5369" spans="2:2" ht="15">
      <c r="B5369" s="181">
        <v>10.718930140686046</v>
      </c>
    </row>
    <row r="5370" spans="2:2" ht="15">
      <c r="B5370" s="181">
        <v>55.532785421922931</v>
      </c>
    </row>
    <row r="5371" spans="2:2" ht="15">
      <c r="B5371" s="181">
        <v>18.836863247775145</v>
      </c>
    </row>
    <row r="5372" spans="2:2" ht="15">
      <c r="B5372" s="181">
        <v>13.029791899837102</v>
      </c>
    </row>
    <row r="5373" spans="2:2" ht="15">
      <c r="B5373" s="181">
        <v>16.915728052511675</v>
      </c>
    </row>
    <row r="5374" spans="2:2" ht="15">
      <c r="B5374" s="181">
        <v>17.238840318434647</v>
      </c>
    </row>
    <row r="5375" spans="2:2" ht="15">
      <c r="B5375" s="181">
        <v>20.802984146237417</v>
      </c>
    </row>
    <row r="5376" spans="2:2" ht="15">
      <c r="B5376" s="181">
        <v>15.265035487991485</v>
      </c>
    </row>
    <row r="5377" spans="2:2" ht="15">
      <c r="B5377" s="181">
        <v>21.241252177125901</v>
      </c>
    </row>
    <row r="5378" spans="2:2" ht="15">
      <c r="B5378" s="181">
        <v>13.598069269675573</v>
      </c>
    </row>
    <row r="5379" spans="2:2" ht="15">
      <c r="B5379" s="181">
        <v>30.105257284622269</v>
      </c>
    </row>
    <row r="5380" spans="2:2" ht="15">
      <c r="B5380" s="181">
        <v>22.048849222169601</v>
      </c>
    </row>
    <row r="5381" spans="2:2" ht="15">
      <c r="B5381" s="181">
        <v>7.1158862348893175</v>
      </c>
    </row>
    <row r="5382" spans="2:2" ht="15">
      <c r="B5382" s="181">
        <v>33.17823804850611</v>
      </c>
    </row>
    <row r="5383" spans="2:2" ht="15">
      <c r="B5383" s="181">
        <v>8.7932598279726299</v>
      </c>
    </row>
    <row r="5384" spans="2:2" ht="15">
      <c r="B5384" s="181">
        <v>7.5185468436204861</v>
      </c>
    </row>
    <row r="5385" spans="2:2" ht="15">
      <c r="B5385" s="181">
        <v>17.168429869900518</v>
      </c>
    </row>
    <row r="5386" spans="2:2" ht="15">
      <c r="B5386" s="181">
        <v>41.297295297631024</v>
      </c>
    </row>
    <row r="5387" spans="2:2" ht="15">
      <c r="B5387" s="181">
        <v>21.9196170923347</v>
      </c>
    </row>
    <row r="5388" spans="2:2" ht="15">
      <c r="B5388" s="181">
        <v>28.133595122655549</v>
      </c>
    </row>
    <row r="5389" spans="2:2" ht="15">
      <c r="B5389" s="181">
        <v>35.827615232157115</v>
      </c>
    </row>
    <row r="5390" spans="2:2" ht="15">
      <c r="B5390" s="181">
        <v>21.171977643925871</v>
      </c>
    </row>
    <row r="5391" spans="2:2" ht="15">
      <c r="B5391" s="181">
        <v>12.234655793547741</v>
      </c>
    </row>
    <row r="5392" spans="2:2" ht="15">
      <c r="B5392" s="181">
        <v>10.786645261862681</v>
      </c>
    </row>
    <row r="5393" spans="2:2" ht="15">
      <c r="B5393" s="181">
        <v>37.271485088125701</v>
      </c>
    </row>
    <row r="5394" spans="2:2" ht="15">
      <c r="B5394" s="181">
        <v>12.676568939824783</v>
      </c>
    </row>
    <row r="5395" spans="2:2" ht="15">
      <c r="B5395" s="181">
        <v>6.613800995721788</v>
      </c>
    </row>
    <row r="5396" spans="2:2" ht="15">
      <c r="B5396" s="181">
        <v>26.439731606169335</v>
      </c>
    </row>
    <row r="5397" spans="2:2" ht="15">
      <c r="B5397" s="181">
        <v>19.359719651745081</v>
      </c>
    </row>
    <row r="5398" spans="2:2" ht="15">
      <c r="B5398" s="181">
        <v>19.584109749559875</v>
      </c>
    </row>
    <row r="5399" spans="2:2" ht="15">
      <c r="B5399" s="181">
        <v>26.811957229959759</v>
      </c>
    </row>
    <row r="5400" spans="2:2" ht="15">
      <c r="B5400" s="181">
        <v>32.90088223198223</v>
      </c>
    </row>
    <row r="5401" spans="2:2" ht="15">
      <c r="B5401" s="181">
        <v>9.7968204871825542</v>
      </c>
    </row>
    <row r="5402" spans="2:2" ht="15">
      <c r="B5402" s="181">
        <v>17.69045833934085</v>
      </c>
    </row>
    <row r="5403" spans="2:2" ht="15">
      <c r="B5403" s="181">
        <v>30.843831304651228</v>
      </c>
    </row>
    <row r="5404" spans="2:2" ht="15">
      <c r="B5404" s="181">
        <v>36.712898015198085</v>
      </c>
    </row>
    <row r="5405" spans="2:2" ht="15">
      <c r="B5405" s="181">
        <v>22.617901584752513</v>
      </c>
    </row>
    <row r="5406" spans="2:2" ht="15">
      <c r="B5406" s="181">
        <v>10.341004543121427</v>
      </c>
    </row>
    <row r="5407" spans="2:2" ht="15">
      <c r="B5407" s="181">
        <v>50.416876225706147</v>
      </c>
    </row>
    <row r="5408" spans="2:2" ht="15">
      <c r="B5408" s="181">
        <v>24.305804452631055</v>
      </c>
    </row>
    <row r="5409" spans="2:2" ht="15">
      <c r="B5409" s="181">
        <v>24.20688801591475</v>
      </c>
    </row>
    <row r="5410" spans="2:2" ht="15">
      <c r="B5410" s="181">
        <v>15.404384350275178</v>
      </c>
    </row>
    <row r="5411" spans="2:2" ht="15">
      <c r="B5411" s="181">
        <v>10.401708305131372</v>
      </c>
    </row>
    <row r="5412" spans="2:2" ht="15">
      <c r="B5412" s="181">
        <v>17.220527399768308</v>
      </c>
    </row>
    <row r="5413" spans="2:2" ht="15">
      <c r="B5413" s="181">
        <v>20.730983421544202</v>
      </c>
    </row>
    <row r="5414" spans="2:2" ht="15">
      <c r="B5414" s="181">
        <v>29.535081813244524</v>
      </c>
    </row>
    <row r="5415" spans="2:2" ht="15">
      <c r="B5415" s="181">
        <v>53.890980116894077</v>
      </c>
    </row>
    <row r="5416" spans="2:2" ht="15">
      <c r="B5416" s="181">
        <v>19.277091754242065</v>
      </c>
    </row>
    <row r="5417" spans="2:2" ht="15">
      <c r="B5417" s="181">
        <v>12.489592042065137</v>
      </c>
    </row>
    <row r="5418" spans="2:2" ht="15">
      <c r="B5418" s="181">
        <v>4.8907387985300907</v>
      </c>
    </row>
    <row r="5419" spans="2:2" ht="15">
      <c r="B5419" s="181">
        <v>26.637038753039654</v>
      </c>
    </row>
    <row r="5420" spans="2:2" ht="15">
      <c r="B5420" s="181">
        <v>17.602466328432605</v>
      </c>
    </row>
    <row r="5421" spans="2:2" ht="15">
      <c r="B5421" s="181">
        <v>7.6595419927170818</v>
      </c>
    </row>
    <row r="5422" spans="2:2" ht="15">
      <c r="B5422" s="181">
        <v>24.246653397677743</v>
      </c>
    </row>
    <row r="5423" spans="2:2" ht="15">
      <c r="B5423" s="181">
        <v>11.865389315960746</v>
      </c>
    </row>
    <row r="5424" spans="2:2" ht="15">
      <c r="B5424" s="181">
        <v>8.0476855312472306</v>
      </c>
    </row>
    <row r="5425" spans="2:2" ht="15">
      <c r="B5425" s="181">
        <v>14.116789987100999</v>
      </c>
    </row>
    <row r="5426" spans="2:2" ht="15">
      <c r="B5426" s="181">
        <v>20.629628706242851</v>
      </c>
    </row>
    <row r="5427" spans="2:2" ht="15">
      <c r="B5427" s="181">
        <v>14.455241938425743</v>
      </c>
    </row>
    <row r="5428" spans="2:2" ht="15">
      <c r="B5428" s="181">
        <v>24.090658160269324</v>
      </c>
    </row>
    <row r="5429" spans="2:2" ht="15">
      <c r="B5429" s="181">
        <v>29.641442717087369</v>
      </c>
    </row>
    <row r="5430" spans="2:2" ht="15">
      <c r="B5430" s="181">
        <v>19.978791803735206</v>
      </c>
    </row>
    <row r="5431" spans="2:2" ht="15">
      <c r="B5431" s="181">
        <v>20.858316758843216</v>
      </c>
    </row>
    <row r="5432" spans="2:2" ht="15">
      <c r="B5432" s="181">
        <v>22.922280735092617</v>
      </c>
    </row>
    <row r="5433" spans="2:2" ht="15">
      <c r="B5433" s="181">
        <v>26.755894005682286</v>
      </c>
    </row>
    <row r="5434" spans="2:2" ht="15">
      <c r="B5434" s="181">
        <v>19.630255374103914</v>
      </c>
    </row>
    <row r="5435" spans="2:2" ht="15">
      <c r="B5435" s="181">
        <v>19.17389135106006</v>
      </c>
    </row>
    <row r="5436" spans="2:2" ht="15">
      <c r="B5436" s="181">
        <v>25.528070506826793</v>
      </c>
    </row>
    <row r="5437" spans="2:2" ht="15">
      <c r="B5437" s="181">
        <v>24.779357178785922</v>
      </c>
    </row>
    <row r="5438" spans="2:2" ht="15">
      <c r="B5438" s="181">
        <v>20.027256168238946</v>
      </c>
    </row>
    <row r="5439" spans="2:2" ht="15">
      <c r="B5439" s="181">
        <v>10.332939599917209</v>
      </c>
    </row>
    <row r="5440" spans="2:2" ht="15">
      <c r="B5440" s="181">
        <v>15.311483760611702</v>
      </c>
    </row>
    <row r="5441" spans="2:2" ht="15">
      <c r="B5441" s="181">
        <v>20.696525570743415</v>
      </c>
    </row>
    <row r="5442" spans="2:2" ht="15">
      <c r="B5442" s="181">
        <v>17.349837336558373</v>
      </c>
    </row>
    <row r="5443" spans="2:2" ht="15">
      <c r="B5443" s="181">
        <v>12.583146390344625</v>
      </c>
    </row>
    <row r="5444" spans="2:2" ht="15">
      <c r="B5444" s="181">
        <v>35.121132270897405</v>
      </c>
    </row>
    <row r="5445" spans="2:2" ht="15">
      <c r="B5445" s="181">
        <v>12.086596935207762</v>
      </c>
    </row>
    <row r="5446" spans="2:2" ht="15">
      <c r="B5446" s="181">
        <v>18.293602023121625</v>
      </c>
    </row>
    <row r="5447" spans="2:2" ht="15">
      <c r="B5447" s="181">
        <v>12.537237968597699</v>
      </c>
    </row>
    <row r="5448" spans="2:2" ht="15">
      <c r="B5448" s="181">
        <v>6.782582339428294</v>
      </c>
    </row>
    <row r="5449" spans="2:2" ht="15">
      <c r="B5449" s="181">
        <v>10.169554778633319</v>
      </c>
    </row>
    <row r="5450" spans="2:2" ht="15">
      <c r="B5450" s="181">
        <v>12.396765029428485</v>
      </c>
    </row>
    <row r="5451" spans="2:2" ht="15">
      <c r="B5451" s="181">
        <v>49.409246271483255</v>
      </c>
    </row>
    <row r="5452" spans="2:2" ht="15">
      <c r="B5452" s="181">
        <v>35.500242203206</v>
      </c>
    </row>
    <row r="5453" spans="2:2" ht="15">
      <c r="B5453" s="181">
        <v>28.889276657331543</v>
      </c>
    </row>
    <row r="5454" spans="2:2" ht="15">
      <c r="B5454" s="181">
        <v>19.005663006111465</v>
      </c>
    </row>
    <row r="5455" spans="2:2" ht="15">
      <c r="B5455" s="181">
        <v>19.770159030878553</v>
      </c>
    </row>
    <row r="5456" spans="2:2" ht="15">
      <c r="B5456" s="181">
        <v>37.065038153356305</v>
      </c>
    </row>
    <row r="5457" spans="2:2" ht="15">
      <c r="B5457" s="181">
        <v>41.378157178558034</v>
      </c>
    </row>
    <row r="5458" spans="2:2" ht="15">
      <c r="B5458" s="181">
        <v>12.88573435189876</v>
      </c>
    </row>
    <row r="5459" spans="2:2" ht="15">
      <c r="B5459" s="181">
        <v>34.202921168336921</v>
      </c>
    </row>
    <row r="5460" spans="2:2" ht="15">
      <c r="B5460" s="181">
        <v>11.820673835585588</v>
      </c>
    </row>
    <row r="5461" spans="2:2" ht="15">
      <c r="B5461" s="181">
        <v>13.367926533721009</v>
      </c>
    </row>
    <row r="5462" spans="2:2" ht="15">
      <c r="B5462" s="181">
        <v>7.4400302163480143</v>
      </c>
    </row>
    <row r="5463" spans="2:2" ht="15">
      <c r="B5463" s="181">
        <v>23.530186260696297</v>
      </c>
    </row>
    <row r="5464" spans="2:2" ht="15">
      <c r="B5464" s="181">
        <v>32.065267016901572</v>
      </c>
    </row>
    <row r="5465" spans="2:2" ht="15">
      <c r="B5465" s="181">
        <v>26.035839869200963</v>
      </c>
    </row>
    <row r="5466" spans="2:2" ht="15">
      <c r="B5466" s="181">
        <v>11.516668741948939</v>
      </c>
    </row>
    <row r="5467" spans="2:2" ht="15">
      <c r="B5467" s="181">
        <v>9.6246187063070145</v>
      </c>
    </row>
    <row r="5468" spans="2:2" ht="15">
      <c r="B5468" s="181">
        <v>18.448150135519054</v>
      </c>
    </row>
    <row r="5469" spans="2:2" ht="15">
      <c r="B5469" s="181">
        <v>5.4390916920543599</v>
      </c>
    </row>
    <row r="5470" spans="2:2" ht="15">
      <c r="B5470" s="181">
        <v>25.160558783593981</v>
      </c>
    </row>
    <row r="5471" spans="2:2" ht="15">
      <c r="B5471" s="181">
        <v>22.319800285599349</v>
      </c>
    </row>
    <row r="5472" spans="2:2" ht="15">
      <c r="B5472" s="181">
        <v>20.174380374404507</v>
      </c>
    </row>
    <row r="5473" spans="2:2" ht="15">
      <c r="B5473" s="181">
        <v>19.693434003212495</v>
      </c>
    </row>
    <row r="5474" spans="2:2" ht="15">
      <c r="B5474" s="181">
        <v>14.021675416822827</v>
      </c>
    </row>
    <row r="5475" spans="2:2" ht="15">
      <c r="B5475" s="181">
        <v>9.1088245779399593</v>
      </c>
    </row>
    <row r="5476" spans="2:2" ht="15">
      <c r="B5476" s="181">
        <v>17.925003487139008</v>
      </c>
    </row>
    <row r="5477" spans="2:2" ht="15">
      <c r="B5477" s="181">
        <v>46.155684830567772</v>
      </c>
    </row>
    <row r="5478" spans="2:2" ht="15">
      <c r="B5478" s="181">
        <v>20.816447169608818</v>
      </c>
    </row>
    <row r="5479" spans="2:2" ht="15">
      <c r="B5479" s="181">
        <v>22.855463580073611</v>
      </c>
    </row>
    <row r="5480" spans="2:2" ht="15">
      <c r="B5480" s="181">
        <v>30.958384833397474</v>
      </c>
    </row>
    <row r="5481" spans="2:2" ht="15">
      <c r="B5481" s="181">
        <v>37.432964965361364</v>
      </c>
    </row>
    <row r="5482" spans="2:2" ht="15">
      <c r="B5482" s="181">
        <v>24.028214557786011</v>
      </c>
    </row>
    <row r="5483" spans="2:2" ht="15">
      <c r="B5483" s="181">
        <v>15.988070609620424</v>
      </c>
    </row>
    <row r="5484" spans="2:2" ht="15">
      <c r="B5484" s="181">
        <v>57.647981534684604</v>
      </c>
    </row>
    <row r="5485" spans="2:2" ht="15">
      <c r="B5485" s="181">
        <v>15.492126132101159</v>
      </c>
    </row>
    <row r="5486" spans="2:2" ht="15">
      <c r="B5486" s="181">
        <v>31.898049620520247</v>
      </c>
    </row>
    <row r="5487" spans="2:2" ht="15">
      <c r="B5487" s="181">
        <v>50.039598142320372</v>
      </c>
    </row>
    <row r="5488" spans="2:2" ht="15">
      <c r="B5488" s="181">
        <v>21.865649382819068</v>
      </c>
    </row>
    <row r="5489" spans="2:2" ht="15">
      <c r="B5489" s="181">
        <v>32.341021691841604</v>
      </c>
    </row>
    <row r="5490" spans="2:2" ht="15">
      <c r="B5490" s="181">
        <v>24.712970224178836</v>
      </c>
    </row>
    <row r="5491" spans="2:2" ht="15">
      <c r="B5491" s="181">
        <v>30.41399797823367</v>
      </c>
    </row>
    <row r="5492" spans="2:2" ht="15">
      <c r="B5492" s="181">
        <v>13.45643459893502</v>
      </c>
    </row>
    <row r="5493" spans="2:2" ht="15">
      <c r="B5493" s="181">
        <v>23.370362534074982</v>
      </c>
    </row>
    <row r="5494" spans="2:2" ht="15">
      <c r="B5494" s="181">
        <v>14.083795240558524</v>
      </c>
    </row>
    <row r="5495" spans="2:2" ht="15">
      <c r="B5495" s="181">
        <v>16.859695339387482</v>
      </c>
    </row>
    <row r="5496" spans="2:2" ht="15">
      <c r="B5496" s="181">
        <v>36.386652582202366</v>
      </c>
    </row>
    <row r="5497" spans="2:2" ht="15">
      <c r="B5497" s="181">
        <v>12.427005584892209</v>
      </c>
    </row>
    <row r="5498" spans="2:2" ht="15">
      <c r="B5498" s="181">
        <v>13.655987825911772</v>
      </c>
    </row>
    <row r="5499" spans="2:2" ht="15">
      <c r="B5499" s="181">
        <v>13.710830030973559</v>
      </c>
    </row>
    <row r="5500" spans="2:2" ht="15">
      <c r="B5500" s="181">
        <v>17.590839548987791</v>
      </c>
    </row>
    <row r="5501" spans="2:2" ht="15">
      <c r="B5501" s="181">
        <v>11.917653077125502</v>
      </c>
    </row>
    <row r="5502" spans="2:2" ht="15">
      <c r="B5502" s="181">
        <v>12.501470557794041</v>
      </c>
    </row>
    <row r="5503" spans="2:2" ht="15">
      <c r="B5503" s="181">
        <v>42.346909681627331</v>
      </c>
    </row>
    <row r="5504" spans="2:2" ht="15">
      <c r="B5504" s="181">
        <v>16.444645433531846</v>
      </c>
    </row>
    <row r="5505" spans="2:2" ht="15">
      <c r="B5505" s="181">
        <v>17.721538083375293</v>
      </c>
    </row>
    <row r="5506" spans="2:2" ht="15">
      <c r="B5506" s="181">
        <v>14.354795899924779</v>
      </c>
    </row>
    <row r="5507" spans="2:2" ht="15">
      <c r="B5507" s="181">
        <v>19.780996002663144</v>
      </c>
    </row>
    <row r="5508" spans="2:2" ht="15">
      <c r="B5508" s="181">
        <v>13.801255047088011</v>
      </c>
    </row>
    <row r="5509" spans="2:2" ht="15">
      <c r="B5509" s="181">
        <v>25.051122735277556</v>
      </c>
    </row>
    <row r="5510" spans="2:2" ht="15">
      <c r="B5510" s="181">
        <v>11.794256351523002</v>
      </c>
    </row>
    <row r="5511" spans="2:2" ht="15">
      <c r="B5511" s="181">
        <v>24.63750931522468</v>
      </c>
    </row>
    <row r="5512" spans="2:2" ht="15">
      <c r="B5512" s="181">
        <v>13.053506377817744</v>
      </c>
    </row>
    <row r="5513" spans="2:2" ht="15">
      <c r="B5513" s="181">
        <v>20.301269019282305</v>
      </c>
    </row>
    <row r="5514" spans="2:2" ht="15">
      <c r="B5514" s="181">
        <v>39.979500195446818</v>
      </c>
    </row>
    <row r="5515" spans="2:2" ht="15">
      <c r="B5515" s="181">
        <v>16.809483872426615</v>
      </c>
    </row>
    <row r="5516" spans="2:2" ht="15">
      <c r="B5516" s="181">
        <v>13.84001866258494</v>
      </c>
    </row>
    <row r="5517" spans="2:2" ht="15">
      <c r="B5517" s="181">
        <v>21.054517827240481</v>
      </c>
    </row>
    <row r="5518" spans="2:2" ht="15">
      <c r="B5518" s="181">
        <v>12.996393413670242</v>
      </c>
    </row>
    <row r="5519" spans="2:2" ht="15">
      <c r="B5519" s="181">
        <v>6.947916386005546</v>
      </c>
    </row>
    <row r="5520" spans="2:2" ht="15">
      <c r="B5520" s="181">
        <v>21.699497096923587</v>
      </c>
    </row>
    <row r="5521" spans="2:2" ht="15">
      <c r="B5521" s="181">
        <v>29.148138490728545</v>
      </c>
    </row>
    <row r="5522" spans="2:2" ht="15">
      <c r="B5522" s="181">
        <v>12.60152391347521</v>
      </c>
    </row>
    <row r="5523" spans="2:2" ht="15">
      <c r="B5523" s="181">
        <v>34.576223396350571</v>
      </c>
    </row>
    <row r="5524" spans="2:2" ht="15">
      <c r="B5524" s="181">
        <v>17.168845786886308</v>
      </c>
    </row>
    <row r="5525" spans="2:2" ht="15">
      <c r="B5525" s="181">
        <v>9.9243071905968439</v>
      </c>
    </row>
    <row r="5526" spans="2:2" ht="15">
      <c r="B5526" s="181">
        <v>16.239117689684907</v>
      </c>
    </row>
    <row r="5527" spans="2:2" ht="15">
      <c r="B5527" s="181">
        <v>21.259606739602781</v>
      </c>
    </row>
    <row r="5528" spans="2:2" ht="15">
      <c r="B5528" s="181">
        <v>10.976340121872751</v>
      </c>
    </row>
    <row r="5529" spans="2:2" ht="15">
      <c r="B5529" s="181">
        <v>12.301371633883903</v>
      </c>
    </row>
    <row r="5530" spans="2:2" ht="15">
      <c r="B5530" s="181">
        <v>18.994549880168012</v>
      </c>
    </row>
    <row r="5531" spans="2:2" ht="15">
      <c r="B5531" s="181">
        <v>34.932887270730951</v>
      </c>
    </row>
    <row r="5532" spans="2:2" ht="15">
      <c r="B5532" s="181">
        <v>80.640805202596454</v>
      </c>
    </row>
    <row r="5533" spans="2:2" ht="15">
      <c r="B5533" s="181">
        <v>8.8986762785128306</v>
      </c>
    </row>
    <row r="5534" spans="2:2" ht="15">
      <c r="B5534" s="181">
        <v>19.662311112746977</v>
      </c>
    </row>
    <row r="5535" spans="2:2" ht="15">
      <c r="B5535" s="181">
        <v>32.550931612096065</v>
      </c>
    </row>
    <row r="5536" spans="2:2" ht="15">
      <c r="B5536" s="181">
        <v>20.289456256566574</v>
      </c>
    </row>
    <row r="5537" spans="2:2" ht="15">
      <c r="B5537" s="181">
        <v>32.907347248325024</v>
      </c>
    </row>
    <row r="5538" spans="2:2" ht="15">
      <c r="B5538" s="181">
        <v>9.4557052339436289</v>
      </c>
    </row>
    <row r="5539" spans="2:2" ht="15">
      <c r="B5539" s="181">
        <v>26.287691463068928</v>
      </c>
    </row>
    <row r="5540" spans="2:2" ht="15">
      <c r="B5540" s="181">
        <v>62.352021257720807</v>
      </c>
    </row>
    <row r="5541" spans="2:2" ht="15">
      <c r="B5541" s="181">
        <v>7.6587982185982852</v>
      </c>
    </row>
    <row r="5542" spans="2:2" ht="15">
      <c r="B5542" s="181">
        <v>12.138269674018604</v>
      </c>
    </row>
    <row r="5543" spans="2:2" ht="15">
      <c r="B5543" s="181">
        <v>14.269218516716338</v>
      </c>
    </row>
    <row r="5544" spans="2:2" ht="15">
      <c r="B5544" s="181">
        <v>8.6895237784298356</v>
      </c>
    </row>
    <row r="5545" spans="2:2" ht="15">
      <c r="B5545" s="181">
        <v>18.74290143244021</v>
      </c>
    </row>
    <row r="5546" spans="2:2" ht="15">
      <c r="B5546" s="181">
        <v>22.760461203518794</v>
      </c>
    </row>
    <row r="5547" spans="2:2" ht="15">
      <c r="B5547" s="181">
        <v>20.587019085149986</v>
      </c>
    </row>
    <row r="5548" spans="2:2" ht="15">
      <c r="B5548" s="181">
        <v>14.634455199118554</v>
      </c>
    </row>
    <row r="5549" spans="2:2" ht="15">
      <c r="B5549" s="181">
        <v>19.778060748124172</v>
      </c>
    </row>
    <row r="5550" spans="2:2" ht="15">
      <c r="B5550" s="181">
        <v>26.780553567571218</v>
      </c>
    </row>
    <row r="5551" spans="2:2" ht="15">
      <c r="B5551" s="181">
        <v>37.559813686044507</v>
      </c>
    </row>
    <row r="5552" spans="2:2" ht="15">
      <c r="B5552" s="181">
        <v>19.577650546545019</v>
      </c>
    </row>
    <row r="5553" spans="2:2" ht="15">
      <c r="B5553" s="181">
        <v>30.589543728490849</v>
      </c>
    </row>
    <row r="5554" spans="2:2" ht="15">
      <c r="B5554" s="181">
        <v>36.504750661132185</v>
      </c>
    </row>
    <row r="5555" spans="2:2" ht="15">
      <c r="B5555" s="181">
        <v>20.121707430683301</v>
      </c>
    </row>
    <row r="5556" spans="2:2" ht="15">
      <c r="B5556" s="181">
        <v>44.149131353663421</v>
      </c>
    </row>
    <row r="5557" spans="2:2" ht="15">
      <c r="B5557" s="181">
        <v>17.406532994245516</v>
      </c>
    </row>
    <row r="5558" spans="2:2" ht="15">
      <c r="B5558" s="181">
        <v>8.6970748640325137</v>
      </c>
    </row>
    <row r="5559" spans="2:2" ht="15">
      <c r="B5559" s="181">
        <v>30.472702689891928</v>
      </c>
    </row>
    <row r="5560" spans="2:2" ht="15">
      <c r="B5560" s="181">
        <v>25.387040919809142</v>
      </c>
    </row>
    <row r="5561" spans="2:2" ht="15">
      <c r="B5561" s="181">
        <v>12.570764913369457</v>
      </c>
    </row>
    <row r="5562" spans="2:2" ht="15">
      <c r="B5562" s="181">
        <v>32.575784615837655</v>
      </c>
    </row>
    <row r="5563" spans="2:2" ht="15">
      <c r="B5563" s="181">
        <v>9.8682813303891148</v>
      </c>
    </row>
    <row r="5564" spans="2:2" ht="15">
      <c r="B5564" s="181">
        <v>10.862479119289249</v>
      </c>
    </row>
    <row r="5565" spans="2:2" ht="15">
      <c r="B5565" s="181">
        <v>51.189541862669614</v>
      </c>
    </row>
    <row r="5566" spans="2:2" ht="15">
      <c r="B5566" s="181">
        <v>7.4459546786099668</v>
      </c>
    </row>
    <row r="5567" spans="2:2" ht="15">
      <c r="B5567" s="181">
        <v>10.885990678607143</v>
      </c>
    </row>
    <row r="5568" spans="2:2" ht="15">
      <c r="B5568" s="181">
        <v>13.687697239943677</v>
      </c>
    </row>
    <row r="5569" spans="2:2" ht="15">
      <c r="B5569" s="181">
        <v>9.2898027477464105</v>
      </c>
    </row>
    <row r="5570" spans="2:2" ht="15">
      <c r="B5570" s="181">
        <v>13.415845740547155</v>
      </c>
    </row>
    <row r="5571" spans="2:2" ht="15">
      <c r="B5571" s="181">
        <v>6.9151935528993063</v>
      </c>
    </row>
    <row r="5572" spans="2:2" ht="15">
      <c r="B5572" s="181">
        <v>19.325215622453069</v>
      </c>
    </row>
    <row r="5573" spans="2:2" ht="15">
      <c r="B5573" s="181">
        <v>14.887455935575073</v>
      </c>
    </row>
    <row r="5574" spans="2:2" ht="15">
      <c r="B5574" s="181">
        <v>12.254474629029376</v>
      </c>
    </row>
    <row r="5575" spans="2:2" ht="15">
      <c r="B5575" s="181">
        <v>15.156047099288987</v>
      </c>
    </row>
    <row r="5576" spans="2:2" ht="15">
      <c r="B5576" s="181">
        <v>15.750189363197537</v>
      </c>
    </row>
    <row r="5577" spans="2:2" ht="15">
      <c r="B5577" s="181">
        <v>23.111082158119515</v>
      </c>
    </row>
    <row r="5578" spans="2:2" ht="15">
      <c r="B5578" s="181">
        <v>21.788469102684289</v>
      </c>
    </row>
    <row r="5579" spans="2:2" ht="15">
      <c r="B5579" s="181">
        <v>35.79414873368593</v>
      </c>
    </row>
    <row r="5580" spans="2:2" ht="15">
      <c r="B5580" s="181">
        <v>16.526284093857225</v>
      </c>
    </row>
    <row r="5581" spans="2:2" ht="15">
      <c r="B5581" s="181">
        <v>17.026318003162739</v>
      </c>
    </row>
    <row r="5582" spans="2:2" ht="15">
      <c r="B5582" s="181">
        <v>20.793137320982492</v>
      </c>
    </row>
    <row r="5583" spans="2:2" ht="15">
      <c r="B5583" s="181">
        <v>21.04384783125127</v>
      </c>
    </row>
    <row r="5584" spans="2:2" ht="15">
      <c r="B5584" s="181">
        <v>18.651448480262506</v>
      </c>
    </row>
    <row r="5585" spans="2:2" ht="15">
      <c r="B5585" s="181">
        <v>26.381966830969152</v>
      </c>
    </row>
    <row r="5586" spans="2:2" ht="15">
      <c r="B5586" s="181">
        <v>24.850734017950547</v>
      </c>
    </row>
    <row r="5587" spans="2:2" ht="15">
      <c r="B5587" s="181">
        <v>23.14287510335047</v>
      </c>
    </row>
    <row r="5588" spans="2:2" ht="15">
      <c r="B5588" s="181">
        <v>6.5384762398878067</v>
      </c>
    </row>
    <row r="5589" spans="2:2" ht="15">
      <c r="B5589" s="181">
        <v>16.206434622384705</v>
      </c>
    </row>
    <row r="5590" spans="2:2" ht="15">
      <c r="B5590" s="181">
        <v>12.827047250143277</v>
      </c>
    </row>
    <row r="5591" spans="2:2" ht="15">
      <c r="B5591" s="181">
        <v>25.432166286984298</v>
      </c>
    </row>
    <row r="5592" spans="2:2" ht="15">
      <c r="B5592" s="181">
        <v>14.917130436076771</v>
      </c>
    </row>
    <row r="5593" spans="2:2" ht="15">
      <c r="B5593" s="181">
        <v>35.784822292418518</v>
      </c>
    </row>
    <row r="5594" spans="2:2" ht="15">
      <c r="B5594" s="181">
        <v>31.116196980545247</v>
      </c>
    </row>
    <row r="5595" spans="2:2" ht="15">
      <c r="B5595" s="181">
        <v>20.939305324138164</v>
      </c>
    </row>
    <row r="5596" spans="2:2" ht="15">
      <c r="B5596" s="181">
        <v>10.17366016730595</v>
      </c>
    </row>
    <row r="5597" spans="2:2" ht="15">
      <c r="B5597" s="181">
        <v>17.653903880666086</v>
      </c>
    </row>
    <row r="5598" spans="2:2" ht="15">
      <c r="B5598" s="181">
        <v>12.081747975413155</v>
      </c>
    </row>
    <row r="5599" spans="2:2" ht="15">
      <c r="B5599" s="181">
        <v>5.2949586614222079</v>
      </c>
    </row>
    <row r="5600" spans="2:2" ht="15">
      <c r="B5600" s="181">
        <v>15.051452092891575</v>
      </c>
    </row>
    <row r="5601" spans="2:2" ht="15">
      <c r="B5601" s="181">
        <v>14.26243699952707</v>
      </c>
    </row>
    <row r="5602" spans="2:2" ht="15">
      <c r="B5602" s="181">
        <v>19.905028950624082</v>
      </c>
    </row>
    <row r="5603" spans="2:2" ht="15">
      <c r="B5603" s="181">
        <v>20.733943379343923</v>
      </c>
    </row>
    <row r="5604" spans="2:2" ht="15">
      <c r="B5604" s="181">
        <v>10.37174412166261</v>
      </c>
    </row>
    <row r="5605" spans="2:2" ht="15">
      <c r="B5605" s="181">
        <v>24.158543177854813</v>
      </c>
    </row>
    <row r="5606" spans="2:2" ht="15">
      <c r="B5606" s="181">
        <v>38.826000974320209</v>
      </c>
    </row>
    <row r="5607" spans="2:2" ht="15">
      <c r="B5607" s="181">
        <v>15.313287044761214</v>
      </c>
    </row>
    <row r="5608" spans="2:2" ht="15">
      <c r="B5608" s="181">
        <v>5.8333712418494379</v>
      </c>
    </row>
    <row r="5609" spans="2:2" ht="15">
      <c r="B5609" s="181">
        <v>22.437106495859545</v>
      </c>
    </row>
    <row r="5610" spans="2:2" ht="15">
      <c r="B5610" s="181">
        <v>23.176002322820111</v>
      </c>
    </row>
    <row r="5611" spans="2:2" ht="15">
      <c r="B5611" s="181">
        <v>21.140741939976323</v>
      </c>
    </row>
    <row r="5612" spans="2:2" ht="15">
      <c r="B5612" s="181">
        <v>9.8500149911933228</v>
      </c>
    </row>
    <row r="5613" spans="2:2" ht="15">
      <c r="B5613" s="181">
        <v>21.413236092226164</v>
      </c>
    </row>
    <row r="5614" spans="2:2" ht="15">
      <c r="B5614" s="181">
        <v>18.207268324058838</v>
      </c>
    </row>
    <row r="5615" spans="2:2" ht="15">
      <c r="B5615" s="181">
        <v>6.6137849993411688</v>
      </c>
    </row>
    <row r="5616" spans="2:2" ht="15">
      <c r="B5616" s="181">
        <v>30.970424220415413</v>
      </c>
    </row>
    <row r="5617" spans="2:2" ht="15">
      <c r="B5617" s="181">
        <v>13.489112584049337</v>
      </c>
    </row>
    <row r="5618" spans="2:2" ht="15">
      <c r="B5618" s="181">
        <v>15.886961270730133</v>
      </c>
    </row>
    <row r="5619" spans="2:2" ht="15">
      <c r="B5619" s="181">
        <v>42.859653292990934</v>
      </c>
    </row>
    <row r="5620" spans="2:2" ht="15">
      <c r="B5620" s="181">
        <v>11.126431711173314</v>
      </c>
    </row>
    <row r="5621" spans="2:2" ht="15">
      <c r="B5621" s="181">
        <v>61.613974854455343</v>
      </c>
    </row>
    <row r="5622" spans="2:2" ht="15">
      <c r="B5622" s="181">
        <v>11.449870200204186</v>
      </c>
    </row>
    <row r="5623" spans="2:2" ht="15">
      <c r="B5623" s="181">
        <v>18.759442893587082</v>
      </c>
    </row>
    <row r="5624" spans="2:2" ht="15">
      <c r="B5624" s="181">
        <v>33.250166362467731</v>
      </c>
    </row>
    <row r="5625" spans="2:2" ht="15">
      <c r="B5625" s="181">
        <v>17.104045388223604</v>
      </c>
    </row>
    <row r="5626" spans="2:2" ht="15">
      <c r="B5626" s="181">
        <v>17.483680518891735</v>
      </c>
    </row>
    <row r="5627" spans="2:2" ht="15">
      <c r="B5627" s="181">
        <v>38.772689442591727</v>
      </c>
    </row>
    <row r="5628" spans="2:2" ht="15">
      <c r="B5628" s="181">
        <v>10.393530506729554</v>
      </c>
    </row>
    <row r="5629" spans="2:2" ht="15">
      <c r="B5629" s="181">
        <v>29.937168567275943</v>
      </c>
    </row>
    <row r="5630" spans="2:2" ht="15">
      <c r="B5630" s="181">
        <v>65.560481009297476</v>
      </c>
    </row>
    <row r="5631" spans="2:2" ht="15">
      <c r="B5631" s="181">
        <v>14.832346153957314</v>
      </c>
    </row>
    <row r="5632" spans="2:2" ht="15">
      <c r="B5632" s="181">
        <v>11.491657197305779</v>
      </c>
    </row>
    <row r="5633" spans="2:2" ht="15">
      <c r="B5633" s="181">
        <v>24.830037917599149</v>
      </c>
    </row>
    <row r="5634" spans="2:2" ht="15">
      <c r="B5634" s="181">
        <v>10.941564393783738</v>
      </c>
    </row>
    <row r="5635" spans="2:2" ht="15">
      <c r="B5635" s="181">
        <v>23.224396269282572</v>
      </c>
    </row>
    <row r="5636" spans="2:2" ht="15">
      <c r="B5636" s="181">
        <v>27.206946647673728</v>
      </c>
    </row>
    <row r="5637" spans="2:2" ht="15">
      <c r="B5637" s="181">
        <v>16.814301629208106</v>
      </c>
    </row>
    <row r="5638" spans="2:2" ht="15">
      <c r="B5638" s="181">
        <v>42.81646875103192</v>
      </c>
    </row>
    <row r="5639" spans="2:2" ht="15">
      <c r="B5639" s="181">
        <v>19.081988899710893</v>
      </c>
    </row>
    <row r="5640" spans="2:2" ht="15">
      <c r="B5640" s="181">
        <v>25.514214209001327</v>
      </c>
    </row>
    <row r="5641" spans="2:2" ht="15">
      <c r="B5641" s="181">
        <v>7.8464184970556561</v>
      </c>
    </row>
    <row r="5642" spans="2:2" ht="15">
      <c r="B5642" s="181">
        <v>23.203172784387803</v>
      </c>
    </row>
    <row r="5643" spans="2:2" ht="15">
      <c r="B5643" s="181">
        <v>20.965110312645994</v>
      </c>
    </row>
    <row r="5644" spans="2:2" ht="15">
      <c r="B5644" s="181">
        <v>22.44136733903229</v>
      </c>
    </row>
    <row r="5645" spans="2:2" ht="15">
      <c r="B5645" s="181">
        <v>9.0650898835434095</v>
      </c>
    </row>
    <row r="5646" spans="2:2" ht="15">
      <c r="B5646" s="181">
        <v>12.984522600761874</v>
      </c>
    </row>
    <row r="5647" spans="2:2" ht="15">
      <c r="B5647" s="181">
        <v>13.916501002942157</v>
      </c>
    </row>
    <row r="5648" spans="2:2" ht="15">
      <c r="B5648" s="181">
        <v>26.45393801538399</v>
      </c>
    </row>
    <row r="5649" spans="2:2" ht="15">
      <c r="B5649" s="181">
        <v>7.7696875033196751</v>
      </c>
    </row>
    <row r="5650" spans="2:2" ht="15">
      <c r="B5650" s="181">
        <v>9.4319416534380291</v>
      </c>
    </row>
    <row r="5651" spans="2:2" ht="15">
      <c r="B5651" s="181">
        <v>12.285817435255465</v>
      </c>
    </row>
    <row r="5652" spans="2:2" ht="15">
      <c r="B5652" s="181">
        <v>24.801099232182828</v>
      </c>
    </row>
    <row r="5653" spans="2:2" ht="15">
      <c r="B5653" s="181">
        <v>8.8933083742898766</v>
      </c>
    </row>
    <row r="5654" spans="2:2" ht="15">
      <c r="B5654" s="181">
        <v>9.8552677717797188</v>
      </c>
    </row>
    <row r="5655" spans="2:2" ht="15">
      <c r="B5655" s="181">
        <v>29.122884172988318</v>
      </c>
    </row>
    <row r="5656" spans="2:2" ht="15">
      <c r="B5656" s="181">
        <v>27.153020881951406</v>
      </c>
    </row>
    <row r="5657" spans="2:2" ht="15">
      <c r="B5657" s="181">
        <v>13.186435076458512</v>
      </c>
    </row>
    <row r="5658" spans="2:2" ht="15">
      <c r="B5658" s="181">
        <v>18.530674605549653</v>
      </c>
    </row>
    <row r="5659" spans="2:2" ht="15">
      <c r="B5659" s="181">
        <v>21.744895262240767</v>
      </c>
    </row>
    <row r="5660" spans="2:2" ht="15">
      <c r="B5660" s="181">
        <v>54.082433937493391</v>
      </c>
    </row>
    <row r="5661" spans="2:2" ht="15">
      <c r="B5661" s="181">
        <v>39.820125346828902</v>
      </c>
    </row>
    <row r="5662" spans="2:2" ht="15">
      <c r="B5662" s="181">
        <v>12.653625818567056</v>
      </c>
    </row>
    <row r="5663" spans="2:2" ht="15">
      <c r="B5663" s="181">
        <v>14.716797723584964</v>
      </c>
    </row>
    <row r="5664" spans="2:2" ht="15">
      <c r="B5664" s="181">
        <v>35.40702582692785</v>
      </c>
    </row>
    <row r="5665" spans="2:2" ht="15">
      <c r="B5665" s="181">
        <v>26.315271496884538</v>
      </c>
    </row>
    <row r="5666" spans="2:2" ht="15">
      <c r="B5666" s="181">
        <v>35.182358124094073</v>
      </c>
    </row>
    <row r="5667" spans="2:2" ht="15">
      <c r="B5667" s="181">
        <v>40.527124623380679</v>
      </c>
    </row>
    <row r="5668" spans="2:2" ht="15">
      <c r="B5668" s="181">
        <v>24.949209977005911</v>
      </c>
    </row>
    <row r="5669" spans="2:2" ht="15">
      <c r="B5669" s="181">
        <v>12.48198758574803</v>
      </c>
    </row>
    <row r="5670" spans="2:2" ht="15">
      <c r="B5670" s="181">
        <v>18.165527486304306</v>
      </c>
    </row>
    <row r="5671" spans="2:2" ht="15">
      <c r="B5671" s="181">
        <v>30.222859057810755</v>
      </c>
    </row>
    <row r="5672" spans="2:2" ht="15">
      <c r="B5672" s="181">
        <v>12.388571335912724</v>
      </c>
    </row>
    <row r="5673" spans="2:2" ht="15">
      <c r="B5673" s="181">
        <v>19.33322311133778</v>
      </c>
    </row>
    <row r="5674" spans="2:2" ht="15">
      <c r="B5674" s="181">
        <v>8.2632325883200437</v>
      </c>
    </row>
    <row r="5675" spans="2:2" ht="15">
      <c r="B5675" s="181">
        <v>34.113591472186158</v>
      </c>
    </row>
    <row r="5676" spans="2:2" ht="15">
      <c r="B5676" s="181">
        <v>19.683633880325736</v>
      </c>
    </row>
    <row r="5677" spans="2:2" ht="15">
      <c r="B5677" s="181">
        <v>41.73751376565172</v>
      </c>
    </row>
    <row r="5678" spans="2:2" ht="15">
      <c r="B5678" s="181">
        <v>24.476048032124819</v>
      </c>
    </row>
    <row r="5679" spans="2:2" ht="15">
      <c r="B5679" s="181">
        <v>54.227311459872865</v>
      </c>
    </row>
    <row r="5680" spans="2:2" ht="15">
      <c r="B5680" s="181">
        <v>15.765198192042089</v>
      </c>
    </row>
    <row r="5681" spans="2:2" ht="15">
      <c r="B5681" s="181">
        <v>19.152725754976867</v>
      </c>
    </row>
    <row r="5682" spans="2:2" ht="15">
      <c r="B5682" s="181">
        <v>23.088423061942009</v>
      </c>
    </row>
    <row r="5683" spans="2:2" ht="15">
      <c r="B5683" s="181">
        <v>35.384019017131145</v>
      </c>
    </row>
    <row r="5684" spans="2:2" ht="15">
      <c r="B5684" s="181">
        <v>29.620352377346126</v>
      </c>
    </row>
    <row r="5685" spans="2:2" ht="15">
      <c r="B5685" s="181">
        <v>15.584726769865478</v>
      </c>
    </row>
    <row r="5686" spans="2:2" ht="15">
      <c r="B5686" s="181">
        <v>23.440980483421026</v>
      </c>
    </row>
    <row r="5687" spans="2:2" ht="15">
      <c r="B5687" s="181">
        <v>15.527628331935219</v>
      </c>
    </row>
    <row r="5688" spans="2:2" ht="15">
      <c r="B5688" s="181">
        <v>13.73321924736979</v>
      </c>
    </row>
    <row r="5689" spans="2:2" ht="15">
      <c r="B5689" s="181">
        <v>20.430758894560711</v>
      </c>
    </row>
    <row r="5690" spans="2:2" ht="15">
      <c r="B5690" s="181">
        <v>10.112463295773617</v>
      </c>
    </row>
    <row r="5691" spans="2:2" ht="15">
      <c r="B5691" s="181">
        <v>12.607446542017968</v>
      </c>
    </row>
    <row r="5692" spans="2:2" ht="15">
      <c r="B5692" s="181">
        <v>22.54691511734978</v>
      </c>
    </row>
    <row r="5693" spans="2:2" ht="15">
      <c r="B5693" s="181">
        <v>16.302964481456513</v>
      </c>
    </row>
    <row r="5694" spans="2:2" ht="15">
      <c r="B5694" s="181">
        <v>13.178084723828329</v>
      </c>
    </row>
    <row r="5695" spans="2:2" ht="15">
      <c r="B5695" s="181">
        <v>9.7411346425326055</v>
      </c>
    </row>
    <row r="5696" spans="2:2" ht="15">
      <c r="B5696" s="181">
        <v>131.56883155821708</v>
      </c>
    </row>
    <row r="5697" spans="2:2" ht="15">
      <c r="B5697" s="181">
        <v>12.613698999076375</v>
      </c>
    </row>
    <row r="5698" spans="2:2" ht="15">
      <c r="B5698" s="181">
        <v>13.94888405355834</v>
      </c>
    </row>
    <row r="5699" spans="2:2" ht="15">
      <c r="B5699" s="181">
        <v>27.333075290023775</v>
      </c>
    </row>
    <row r="5700" spans="2:2" ht="15">
      <c r="B5700" s="181">
        <v>23.59211008132014</v>
      </c>
    </row>
    <row r="5701" spans="2:2" ht="15">
      <c r="B5701" s="181">
        <v>23.274787693589044</v>
      </c>
    </row>
    <row r="5702" spans="2:2" ht="15">
      <c r="B5702" s="181">
        <v>14.108895190400936</v>
      </c>
    </row>
    <row r="5703" spans="2:2" ht="15">
      <c r="B5703" s="181">
        <v>35.194924131315112</v>
      </c>
    </row>
    <row r="5704" spans="2:2" ht="15">
      <c r="B5704" s="181">
        <v>15.628922770241909</v>
      </c>
    </row>
    <row r="5705" spans="2:2" ht="15">
      <c r="B5705" s="181">
        <v>24.979970520472904</v>
      </c>
    </row>
    <row r="5706" spans="2:2" ht="15">
      <c r="B5706" s="181">
        <v>29.794846219897213</v>
      </c>
    </row>
    <row r="5707" spans="2:2" ht="15">
      <c r="B5707" s="181">
        <v>15.396680919209963</v>
      </c>
    </row>
    <row r="5708" spans="2:2" ht="15">
      <c r="B5708" s="181">
        <v>21.223392083675236</v>
      </c>
    </row>
    <row r="5709" spans="2:2" ht="15">
      <c r="B5709" s="181">
        <v>8.5148331480962618</v>
      </c>
    </row>
    <row r="5710" spans="2:2" ht="15">
      <c r="B5710" s="181">
        <v>10.589188262462971</v>
      </c>
    </row>
    <row r="5711" spans="2:2" ht="15">
      <c r="B5711" s="181">
        <v>9.7342782421676528</v>
      </c>
    </row>
    <row r="5712" spans="2:2" ht="15">
      <c r="B5712" s="181">
        <v>18.156274988327873</v>
      </c>
    </row>
    <row r="5713" spans="2:2" ht="15">
      <c r="B5713" s="181">
        <v>23.4018777995324</v>
      </c>
    </row>
    <row r="5714" spans="2:2" ht="15">
      <c r="B5714" s="181">
        <v>7.9667346387683597</v>
      </c>
    </row>
    <row r="5715" spans="2:2" ht="15">
      <c r="B5715" s="181">
        <v>13.662878797331288</v>
      </c>
    </row>
    <row r="5716" spans="2:2" ht="15">
      <c r="B5716" s="181">
        <v>20.896009811262395</v>
      </c>
    </row>
    <row r="5717" spans="2:2" ht="15">
      <c r="B5717" s="181">
        <v>13.627172309077487</v>
      </c>
    </row>
    <row r="5718" spans="2:2" ht="15">
      <c r="B5718" s="181">
        <v>13.24414021374003</v>
      </c>
    </row>
    <row r="5719" spans="2:2" ht="15">
      <c r="B5719" s="181">
        <v>13.877888215406985</v>
      </c>
    </row>
    <row r="5720" spans="2:2" ht="15">
      <c r="B5720" s="181">
        <v>40.254118854293232</v>
      </c>
    </row>
    <row r="5721" spans="2:2" ht="15">
      <c r="B5721" s="181">
        <v>13.243678839421413</v>
      </c>
    </row>
    <row r="5722" spans="2:2" ht="15">
      <c r="B5722" s="181">
        <v>31.50738659868686</v>
      </c>
    </row>
    <row r="5723" spans="2:2" ht="15">
      <c r="B5723" s="181">
        <v>16.545909228467998</v>
      </c>
    </row>
    <row r="5724" spans="2:2" ht="15">
      <c r="B5724" s="181">
        <v>26.05083112027333</v>
      </c>
    </row>
    <row r="5725" spans="2:2" ht="15">
      <c r="B5725" s="181">
        <v>44.387768730006172</v>
      </c>
    </row>
    <row r="5726" spans="2:2" ht="15">
      <c r="B5726" s="181">
        <v>42.539117888225746</v>
      </c>
    </row>
    <row r="5727" spans="2:2" ht="15">
      <c r="B5727" s="181">
        <v>16.040678074383191</v>
      </c>
    </row>
    <row r="5728" spans="2:2" ht="15">
      <c r="B5728" s="181">
        <v>31.163349621034666</v>
      </c>
    </row>
    <row r="5729" spans="2:2" ht="15">
      <c r="B5729" s="181">
        <v>16.169249114570007</v>
      </c>
    </row>
    <row r="5730" spans="2:2" ht="15">
      <c r="B5730" s="181">
        <v>29.448206505491129</v>
      </c>
    </row>
    <row r="5731" spans="2:2" ht="15">
      <c r="B5731" s="181">
        <v>21.489898374922269</v>
      </c>
    </row>
    <row r="5732" spans="2:2" ht="15">
      <c r="B5732" s="181">
        <v>37.111598269412021</v>
      </c>
    </row>
    <row r="5733" spans="2:2" ht="15">
      <c r="B5733" s="181">
        <v>44.281414229003566</v>
      </c>
    </row>
    <row r="5734" spans="2:2" ht="15">
      <c r="B5734" s="181">
        <v>19.274931687745436</v>
      </c>
    </row>
    <row r="5735" spans="2:2" ht="15">
      <c r="B5735" s="181">
        <v>16.608645696371067</v>
      </c>
    </row>
    <row r="5736" spans="2:2" ht="15">
      <c r="B5736" s="181">
        <v>21.33559955459927</v>
      </c>
    </row>
    <row r="5737" spans="2:2" ht="15">
      <c r="B5737" s="181">
        <v>27.38603837648412</v>
      </c>
    </row>
    <row r="5738" spans="2:2" ht="15">
      <c r="B5738" s="181">
        <v>12.254971557997424</v>
      </c>
    </row>
    <row r="5739" spans="2:2" ht="15">
      <c r="B5739" s="181">
        <v>10.217410142732883</v>
      </c>
    </row>
    <row r="5740" spans="2:2" ht="15">
      <c r="B5740" s="181">
        <v>17.074226357428717</v>
      </c>
    </row>
    <row r="5741" spans="2:2" ht="15">
      <c r="B5741" s="181">
        <v>14.025412703785005</v>
      </c>
    </row>
    <row r="5742" spans="2:2" ht="15">
      <c r="B5742" s="181">
        <v>21.074572190361852</v>
      </c>
    </row>
    <row r="5743" spans="2:2" ht="15">
      <c r="B5743" s="181">
        <v>8.5601510138499624</v>
      </c>
    </row>
    <row r="5744" spans="2:2" ht="15">
      <c r="B5744" s="181">
        <v>32.164638118056445</v>
      </c>
    </row>
    <row r="5745" spans="2:2" ht="15">
      <c r="B5745" s="181">
        <v>21.305551635703715</v>
      </c>
    </row>
    <row r="5746" spans="2:2" ht="15">
      <c r="B5746" s="181">
        <v>23.910675947481842</v>
      </c>
    </row>
    <row r="5747" spans="2:2" ht="15">
      <c r="B5747" s="181">
        <v>23.988481902569188</v>
      </c>
    </row>
    <row r="5748" spans="2:2" ht="15">
      <c r="B5748" s="181">
        <v>11.881548896941673</v>
      </c>
    </row>
    <row r="5749" spans="2:2" ht="15">
      <c r="B5749" s="181">
        <v>16.143849419459489</v>
      </c>
    </row>
    <row r="5750" spans="2:2" ht="15">
      <c r="B5750" s="181">
        <v>17.175547012364813</v>
      </c>
    </row>
    <row r="5751" spans="2:2" ht="15">
      <c r="B5751" s="181">
        <v>18.069325170515565</v>
      </c>
    </row>
    <row r="5752" spans="2:2" ht="15">
      <c r="B5752" s="181">
        <v>14.260707713550413</v>
      </c>
    </row>
    <row r="5753" spans="2:2" ht="15">
      <c r="B5753" s="181">
        <v>45.008971575876515</v>
      </c>
    </row>
    <row r="5754" spans="2:2" ht="15">
      <c r="B5754" s="181">
        <v>20.273175073129003</v>
      </c>
    </row>
    <row r="5755" spans="2:2" ht="15">
      <c r="B5755" s="181">
        <v>14.554419371199952</v>
      </c>
    </row>
    <row r="5756" spans="2:2" ht="15">
      <c r="B5756" s="181">
        <v>20.582702699522617</v>
      </c>
    </row>
    <row r="5757" spans="2:2" ht="15">
      <c r="B5757" s="181">
        <v>14.658433978308505</v>
      </c>
    </row>
    <row r="5758" spans="2:2" ht="15">
      <c r="B5758" s="181">
        <v>27.750299555690773</v>
      </c>
    </row>
    <row r="5759" spans="2:2" ht="15">
      <c r="B5759" s="181">
        <v>25.119465439026762</v>
      </c>
    </row>
    <row r="5760" spans="2:2" ht="15">
      <c r="B5760" s="181">
        <v>28.382200453918649</v>
      </c>
    </row>
    <row r="5761" spans="2:2" ht="15">
      <c r="B5761" s="181">
        <v>27.212698041027689</v>
      </c>
    </row>
    <row r="5762" spans="2:2" ht="15">
      <c r="B5762" s="181">
        <v>12.937135315511785</v>
      </c>
    </row>
    <row r="5763" spans="2:2" ht="15">
      <c r="B5763" s="181">
        <v>14.317247583768772</v>
      </c>
    </row>
    <row r="5764" spans="2:2" ht="15">
      <c r="B5764" s="181">
        <v>22.681842827581058</v>
      </c>
    </row>
    <row r="5765" spans="2:2" ht="15">
      <c r="B5765" s="181">
        <v>22.20454565012615</v>
      </c>
    </row>
    <row r="5766" spans="2:2" ht="15">
      <c r="B5766" s="181">
        <v>22.887569324319639</v>
      </c>
    </row>
    <row r="5767" spans="2:2" ht="15">
      <c r="B5767" s="181">
        <v>20.614143062103384</v>
      </c>
    </row>
    <row r="5768" spans="2:2" ht="15">
      <c r="B5768" s="181">
        <v>12.479492981848036</v>
      </c>
    </row>
    <row r="5769" spans="2:2" ht="15">
      <c r="B5769" s="181">
        <v>15.093901637514833</v>
      </c>
    </row>
    <row r="5770" spans="2:2" ht="15">
      <c r="B5770" s="181">
        <v>30.854532940690671</v>
      </c>
    </row>
    <row r="5771" spans="2:2" ht="15">
      <c r="B5771" s="181">
        <v>11.561806409822161</v>
      </c>
    </row>
    <row r="5772" spans="2:2" ht="15">
      <c r="B5772" s="181">
        <v>9.4540502653283074</v>
      </c>
    </row>
    <row r="5773" spans="2:2" ht="15">
      <c r="B5773" s="181">
        <v>16.135790611337143</v>
      </c>
    </row>
    <row r="5774" spans="2:2" ht="15">
      <c r="B5774" s="181">
        <v>23.729949001886865</v>
      </c>
    </row>
    <row r="5775" spans="2:2" ht="15">
      <c r="B5775" s="181">
        <v>15.407996120350973</v>
      </c>
    </row>
    <row r="5776" spans="2:2" ht="15">
      <c r="B5776" s="181">
        <v>62.574164541168969</v>
      </c>
    </row>
    <row r="5777" spans="2:2" ht="15">
      <c r="B5777" s="181">
        <v>37.609285291279718</v>
      </c>
    </row>
    <row r="5778" spans="2:2" ht="15">
      <c r="B5778" s="181">
        <v>21.250777552599185</v>
      </c>
    </row>
    <row r="5779" spans="2:2" ht="15">
      <c r="B5779" s="181">
        <v>16.901850628481768</v>
      </c>
    </row>
    <row r="5780" spans="2:2" ht="15">
      <c r="B5780" s="181">
        <v>6.1851325043964582</v>
      </c>
    </row>
    <row r="5781" spans="2:2" ht="15">
      <c r="B5781" s="181">
        <v>16.983259895070141</v>
      </c>
    </row>
    <row r="5782" spans="2:2" ht="15">
      <c r="B5782" s="181">
        <v>8.1149287726525081</v>
      </c>
    </row>
    <row r="5783" spans="2:2" ht="15">
      <c r="B5783" s="181">
        <v>28.542812988882311</v>
      </c>
    </row>
    <row r="5784" spans="2:2" ht="15">
      <c r="B5784" s="181">
        <v>12.439816880205829</v>
      </c>
    </row>
    <row r="5785" spans="2:2" ht="15">
      <c r="B5785" s="181">
        <v>15.534360741853384</v>
      </c>
    </row>
    <row r="5786" spans="2:2" ht="15">
      <c r="B5786" s="181">
        <v>41.917334964180391</v>
      </c>
    </row>
    <row r="5787" spans="2:2" ht="15">
      <c r="B5787" s="181">
        <v>22.677814442443069</v>
      </c>
    </row>
    <row r="5788" spans="2:2" ht="15">
      <c r="B5788" s="181">
        <v>19.030444601648028</v>
      </c>
    </row>
    <row r="5789" spans="2:2" ht="15">
      <c r="B5789" s="181">
        <v>26.954204828017399</v>
      </c>
    </row>
    <row r="5790" spans="2:2" ht="15">
      <c r="B5790" s="181">
        <v>36.340558201251028</v>
      </c>
    </row>
    <row r="5791" spans="2:2" ht="15">
      <c r="B5791" s="181">
        <v>15.130180862467789</v>
      </c>
    </row>
    <row r="5792" spans="2:2" ht="15">
      <c r="B5792" s="181">
        <v>43.002728690008475</v>
      </c>
    </row>
    <row r="5793" spans="2:2" ht="15">
      <c r="B5793" s="181">
        <v>25.424284550534257</v>
      </c>
    </row>
    <row r="5794" spans="2:2" ht="15">
      <c r="B5794" s="181">
        <v>15.718008015404092</v>
      </c>
    </row>
    <row r="5795" spans="2:2" ht="15">
      <c r="B5795" s="181">
        <v>30.55108317818987</v>
      </c>
    </row>
    <row r="5796" spans="2:2" ht="15">
      <c r="B5796" s="181">
        <v>10.364159768487497</v>
      </c>
    </row>
    <row r="5797" spans="2:2" ht="15">
      <c r="B5797" s="181">
        <v>31.216071694187317</v>
      </c>
    </row>
    <row r="5798" spans="2:2" ht="15">
      <c r="B5798" s="181">
        <v>25.927976459047841</v>
      </c>
    </row>
    <row r="5799" spans="2:2" ht="15">
      <c r="B5799" s="181">
        <v>16.539787124074788</v>
      </c>
    </row>
    <row r="5800" spans="2:2" ht="15">
      <c r="B5800" s="181">
        <v>10.665718534170734</v>
      </c>
    </row>
    <row r="5801" spans="2:2" ht="15">
      <c r="B5801" s="181">
        <v>35.445854488715604</v>
      </c>
    </row>
    <row r="5802" spans="2:2" ht="15">
      <c r="B5802" s="181">
        <v>27.966010907140031</v>
      </c>
    </row>
    <row r="5803" spans="2:2" ht="15">
      <c r="B5803" s="181">
        <v>12.853079685249623</v>
      </c>
    </row>
    <row r="5804" spans="2:2" ht="15">
      <c r="B5804" s="181">
        <v>25.340480804081736</v>
      </c>
    </row>
    <row r="5805" spans="2:2" ht="15">
      <c r="B5805" s="181">
        <v>19.157823680271989</v>
      </c>
    </row>
    <row r="5806" spans="2:2" ht="15">
      <c r="B5806" s="181">
        <v>9.7386515144868664</v>
      </c>
    </row>
    <row r="5807" spans="2:2" ht="15">
      <c r="B5807" s="181">
        <v>27.791524460589898</v>
      </c>
    </row>
    <row r="5808" spans="2:2" ht="15">
      <c r="B5808" s="181">
        <v>21.969633254778557</v>
      </c>
    </row>
    <row r="5809" spans="2:2" ht="15">
      <c r="B5809" s="181">
        <v>11.377549896233383</v>
      </c>
    </row>
    <row r="5810" spans="2:2" ht="15">
      <c r="B5810" s="181">
        <v>12.05370696262637</v>
      </c>
    </row>
    <row r="5811" spans="2:2" ht="15">
      <c r="B5811" s="181">
        <v>3.862944813390198</v>
      </c>
    </row>
    <row r="5812" spans="2:2" ht="15">
      <c r="B5812" s="181">
        <v>19.566262870536217</v>
      </c>
    </row>
    <row r="5813" spans="2:2" ht="15">
      <c r="B5813" s="181">
        <v>5.501087029256345</v>
      </c>
    </row>
    <row r="5814" spans="2:2" ht="15">
      <c r="B5814" s="181">
        <v>26.3216842169914</v>
      </c>
    </row>
    <row r="5815" spans="2:2" ht="15">
      <c r="B5815" s="181">
        <v>21.750895506586442</v>
      </c>
    </row>
    <row r="5816" spans="2:2" ht="15">
      <c r="B5816" s="181">
        <v>35.016543928036732</v>
      </c>
    </row>
    <row r="5817" spans="2:2" ht="15">
      <c r="B5817" s="181">
        <v>35.210955022689291</v>
      </c>
    </row>
    <row r="5818" spans="2:2" ht="15">
      <c r="B5818" s="181">
        <v>45.153348977369049</v>
      </c>
    </row>
    <row r="5819" spans="2:2" ht="15">
      <c r="B5819" s="181">
        <v>19.392100018016645</v>
      </c>
    </row>
    <row r="5820" spans="2:2" ht="15">
      <c r="B5820" s="181">
        <v>13.879400664505532</v>
      </c>
    </row>
    <row r="5821" spans="2:2" ht="15">
      <c r="B5821" s="181">
        <v>18.034874422979154</v>
      </c>
    </row>
    <row r="5822" spans="2:2" ht="15">
      <c r="B5822" s="181">
        <v>10.532927165977114</v>
      </c>
    </row>
    <row r="5823" spans="2:2" ht="15">
      <c r="B5823" s="181">
        <v>6.5840862296965392</v>
      </c>
    </row>
    <row r="5824" spans="2:2" ht="15">
      <c r="B5824" s="181">
        <v>8.9091688182376334</v>
      </c>
    </row>
    <row r="5825" spans="2:2" ht="15">
      <c r="B5825" s="181">
        <v>13.624491377341814</v>
      </c>
    </row>
    <row r="5826" spans="2:2" ht="15">
      <c r="B5826" s="181">
        <v>8.8513542618666143</v>
      </c>
    </row>
    <row r="5827" spans="2:2" ht="15">
      <c r="B5827" s="181">
        <v>18.248861114330026</v>
      </c>
    </row>
    <row r="5828" spans="2:2" ht="15">
      <c r="B5828" s="181">
        <v>13.474990747480318</v>
      </c>
    </row>
    <row r="5829" spans="2:2" ht="15">
      <c r="B5829" s="181">
        <v>13.525896159202201</v>
      </c>
    </row>
    <row r="5830" spans="2:2" ht="15">
      <c r="B5830" s="181">
        <v>14.895887576641007</v>
      </c>
    </row>
    <row r="5831" spans="2:2" ht="15">
      <c r="B5831" s="181">
        <v>46.462977216123363</v>
      </c>
    </row>
    <row r="5832" spans="2:2" ht="15">
      <c r="B5832" s="181">
        <v>22.194763963457977</v>
      </c>
    </row>
    <row r="5833" spans="2:2" ht="15">
      <c r="B5833" s="181">
        <v>13.925950608712824</v>
      </c>
    </row>
    <row r="5834" spans="2:2" ht="15">
      <c r="B5834" s="181">
        <v>26.55435302707318</v>
      </c>
    </row>
    <row r="5835" spans="2:2" ht="15">
      <c r="B5835" s="181">
        <v>10.258405956915666</v>
      </c>
    </row>
    <row r="5836" spans="2:2" ht="15">
      <c r="B5836" s="181">
        <v>16.31431005267368</v>
      </c>
    </row>
    <row r="5837" spans="2:2" ht="15">
      <c r="B5837" s="181">
        <v>27.523522732332264</v>
      </c>
    </row>
    <row r="5838" spans="2:2" ht="15">
      <c r="B5838" s="181">
        <v>18.115820057952739</v>
      </c>
    </row>
    <row r="5839" spans="2:2" ht="15">
      <c r="B5839" s="181">
        <v>18.717609757504402</v>
      </c>
    </row>
    <row r="5840" spans="2:2" ht="15">
      <c r="B5840" s="181">
        <v>28.544351488480363</v>
      </c>
    </row>
    <row r="5841" spans="2:2" ht="15">
      <c r="B5841" s="181">
        <v>16.245275320416368</v>
      </c>
    </row>
    <row r="5842" spans="2:2" ht="15">
      <c r="B5842" s="181">
        <v>38.298965614259508</v>
      </c>
    </row>
    <row r="5843" spans="2:2" ht="15">
      <c r="B5843" s="181">
        <v>16.708721859461487</v>
      </c>
    </row>
    <row r="5844" spans="2:2" ht="15">
      <c r="B5844" s="181">
        <v>23.953980715600391</v>
      </c>
    </row>
    <row r="5845" spans="2:2" ht="15">
      <c r="B5845" s="181">
        <v>19.137307266106216</v>
      </c>
    </row>
    <row r="5846" spans="2:2" ht="15">
      <c r="B5846" s="181">
        <v>23.657760315005159</v>
      </c>
    </row>
    <row r="5847" spans="2:2" ht="15">
      <c r="B5847" s="181">
        <v>20.6578046712036</v>
      </c>
    </row>
    <row r="5848" spans="2:2" ht="15">
      <c r="B5848" s="181">
        <v>23.272654075099158</v>
      </c>
    </row>
    <row r="5849" spans="2:2" ht="15">
      <c r="B5849" s="181">
        <v>17.937670351020039</v>
      </c>
    </row>
    <row r="5850" spans="2:2" ht="15">
      <c r="B5850" s="181">
        <v>16.365581751682459</v>
      </c>
    </row>
    <row r="5851" spans="2:2" ht="15">
      <c r="B5851" s="181">
        <v>27.98184662575855</v>
      </c>
    </row>
    <row r="5852" spans="2:2" ht="15">
      <c r="B5852" s="181">
        <v>28.272267645300165</v>
      </c>
    </row>
    <row r="5853" spans="2:2" ht="15">
      <c r="B5853" s="181">
        <v>21.927541906333172</v>
      </c>
    </row>
    <row r="5854" spans="2:2" ht="15">
      <c r="B5854" s="181">
        <v>16.516868873308688</v>
      </c>
    </row>
    <row r="5855" spans="2:2" ht="15">
      <c r="B5855" s="181">
        <v>7.5171708922165408</v>
      </c>
    </row>
    <row r="5856" spans="2:2" ht="15">
      <c r="B5856" s="181">
        <v>34.492700272735227</v>
      </c>
    </row>
    <row r="5857" spans="2:2" ht="15">
      <c r="B5857" s="181">
        <v>13.926319257967828</v>
      </c>
    </row>
    <row r="5858" spans="2:2" ht="15">
      <c r="B5858" s="181">
        <v>9.3159236089027306</v>
      </c>
    </row>
    <row r="5859" spans="2:2" ht="15">
      <c r="B5859" s="181">
        <v>10.692192994613048</v>
      </c>
    </row>
    <row r="5860" spans="2:2" ht="15">
      <c r="B5860" s="181">
        <v>17.093621356911473</v>
      </c>
    </row>
    <row r="5861" spans="2:2" ht="15">
      <c r="B5861" s="181">
        <v>6.0648866683854656</v>
      </c>
    </row>
    <row r="5862" spans="2:2" ht="15">
      <c r="B5862" s="181">
        <v>17.679333186712345</v>
      </c>
    </row>
    <row r="5863" spans="2:2" ht="15">
      <c r="B5863" s="181">
        <v>25.241517687683743</v>
      </c>
    </row>
    <row r="5864" spans="2:2" ht="15">
      <c r="B5864" s="181">
        <v>45.69348409837017</v>
      </c>
    </row>
    <row r="5865" spans="2:2" ht="15">
      <c r="B5865" s="181">
        <v>19.277644236928111</v>
      </c>
    </row>
    <row r="5866" spans="2:2" ht="15">
      <c r="B5866" s="181">
        <v>42.96615042582949</v>
      </c>
    </row>
    <row r="5867" spans="2:2" ht="15">
      <c r="B5867" s="181">
        <v>12.792836186064999</v>
      </c>
    </row>
    <row r="5868" spans="2:2" ht="15">
      <c r="B5868" s="181">
        <v>18.286536983719927</v>
      </c>
    </row>
    <row r="5869" spans="2:2" ht="15">
      <c r="B5869" s="181">
        <v>22.345252206436729</v>
      </c>
    </row>
    <row r="5870" spans="2:2" ht="15">
      <c r="B5870" s="181">
        <v>16.377526641358251</v>
      </c>
    </row>
    <row r="5871" spans="2:2" ht="15">
      <c r="B5871" s="181">
        <v>18.857308446925888</v>
      </c>
    </row>
    <row r="5872" spans="2:2" ht="15">
      <c r="B5872" s="181">
        <v>29.962507058937884</v>
      </c>
    </row>
    <row r="5873" spans="2:2" ht="15">
      <c r="B5873" s="181">
        <v>17.397428957329108</v>
      </c>
    </row>
    <row r="5874" spans="2:2" ht="15">
      <c r="B5874" s="181">
        <v>25.406605460913038</v>
      </c>
    </row>
    <row r="5875" spans="2:2" ht="15">
      <c r="B5875" s="181">
        <v>14.087105166627151</v>
      </c>
    </row>
    <row r="5876" spans="2:2" ht="15">
      <c r="B5876" s="181">
        <v>9.6561402768765827</v>
      </c>
    </row>
    <row r="5877" spans="2:2" ht="15">
      <c r="B5877" s="181">
        <v>13.609441319316813</v>
      </c>
    </row>
    <row r="5878" spans="2:2" ht="15">
      <c r="B5878" s="181">
        <v>6.6471662557876803</v>
      </c>
    </row>
    <row r="5879" spans="2:2" ht="15">
      <c r="B5879" s="181">
        <v>74.107942344462316</v>
      </c>
    </row>
    <row r="5880" spans="2:2" ht="15">
      <c r="B5880" s="181">
        <v>18.138096653798002</v>
      </c>
    </row>
    <row r="5881" spans="2:2" ht="15">
      <c r="B5881" s="181">
        <v>21.317286199319611</v>
      </c>
    </row>
    <row r="5882" spans="2:2" ht="15">
      <c r="B5882" s="181">
        <v>22.415141452583388</v>
      </c>
    </row>
    <row r="5883" spans="2:2" ht="15">
      <c r="B5883" s="181">
        <v>24.830181187891998</v>
      </c>
    </row>
    <row r="5884" spans="2:2" ht="15">
      <c r="B5884" s="181">
        <v>11.380851295889761</v>
      </c>
    </row>
    <row r="5885" spans="2:2" ht="15">
      <c r="B5885" s="181">
        <v>8.3681384549449298</v>
      </c>
    </row>
    <row r="5886" spans="2:2" ht="15">
      <c r="B5886" s="181">
        <v>9.3611396735363908</v>
      </c>
    </row>
    <row r="5887" spans="2:2" ht="15">
      <c r="B5887" s="181">
        <v>32.708250913348202</v>
      </c>
    </row>
    <row r="5888" spans="2:2" ht="15">
      <c r="B5888" s="181">
        <v>26.335643669282181</v>
      </c>
    </row>
    <row r="5889" spans="2:2" ht="15">
      <c r="B5889" s="181">
        <v>9.2894937692111785</v>
      </c>
    </row>
    <row r="5890" spans="2:2" ht="15">
      <c r="B5890" s="181">
        <v>18.478478791803305</v>
      </c>
    </row>
    <row r="5891" spans="2:2" ht="15">
      <c r="B5891" s="181">
        <v>13.33086097842466</v>
      </c>
    </row>
    <row r="5892" spans="2:2" ht="15">
      <c r="B5892" s="181">
        <v>38.481254677663685</v>
      </c>
    </row>
    <row r="5893" spans="2:2" ht="15">
      <c r="B5893" s="181">
        <v>16.31358591439496</v>
      </c>
    </row>
    <row r="5894" spans="2:2" ht="15">
      <c r="B5894" s="181">
        <v>13.723864399452006</v>
      </c>
    </row>
    <row r="5895" spans="2:2" ht="15">
      <c r="B5895" s="181">
        <v>16.409264486526627</v>
      </c>
    </row>
    <row r="5896" spans="2:2" ht="15">
      <c r="B5896" s="181">
        <v>37.555147955516468</v>
      </c>
    </row>
    <row r="5897" spans="2:2" ht="15">
      <c r="B5897" s="181">
        <v>8.390164950305703</v>
      </c>
    </row>
    <row r="5898" spans="2:2" ht="15">
      <c r="B5898" s="181">
        <v>16.117072215343363</v>
      </c>
    </row>
    <row r="5899" spans="2:2" ht="15">
      <c r="B5899" s="181">
        <v>19.205003099370963</v>
      </c>
    </row>
    <row r="5900" spans="2:2" ht="15">
      <c r="B5900" s="181">
        <v>7.7973600135021126</v>
      </c>
    </row>
    <row r="5901" spans="2:2" ht="15">
      <c r="B5901" s="181">
        <v>15.064899981109203</v>
      </c>
    </row>
    <row r="5902" spans="2:2" ht="15">
      <c r="B5902" s="181">
        <v>34.729124399796135</v>
      </c>
    </row>
    <row r="5903" spans="2:2" ht="15">
      <c r="B5903" s="181">
        <v>8.27246848538325</v>
      </c>
    </row>
    <row r="5904" spans="2:2" ht="15">
      <c r="B5904" s="181">
        <v>23.98308115557731</v>
      </c>
    </row>
    <row r="5905" spans="2:2" ht="15">
      <c r="B5905" s="181">
        <v>9.9596370633511437</v>
      </c>
    </row>
    <row r="5906" spans="2:2" ht="15">
      <c r="B5906" s="181">
        <v>16.666583708340848</v>
      </c>
    </row>
    <row r="5907" spans="2:2" ht="15">
      <c r="B5907" s="181">
        <v>13.417487180763692</v>
      </c>
    </row>
    <row r="5908" spans="2:2" ht="15">
      <c r="B5908" s="181">
        <v>17.5153176455532</v>
      </c>
    </row>
    <row r="5909" spans="2:2" ht="15">
      <c r="B5909" s="181">
        <v>20.128142056067286</v>
      </c>
    </row>
    <row r="5910" spans="2:2" ht="15">
      <c r="B5910" s="181">
        <v>16.240913556721654</v>
      </c>
    </row>
    <row r="5911" spans="2:2" ht="15">
      <c r="B5911" s="181">
        <v>25.34480447057372</v>
      </c>
    </row>
    <row r="5912" spans="2:2" ht="15">
      <c r="B5912" s="181">
        <v>19.086069481046916</v>
      </c>
    </row>
    <row r="5913" spans="2:2" ht="15">
      <c r="B5913" s="181">
        <v>26.942540201399957</v>
      </c>
    </row>
    <row r="5914" spans="2:2" ht="15">
      <c r="B5914" s="181">
        <v>11.706373473392427</v>
      </c>
    </row>
    <row r="5915" spans="2:2" ht="15">
      <c r="B5915" s="181">
        <v>9.2356869236755443</v>
      </c>
    </row>
    <row r="5916" spans="2:2" ht="15">
      <c r="B5916" s="181">
        <v>18.738789473972041</v>
      </c>
    </row>
    <row r="5917" spans="2:2" ht="15">
      <c r="B5917" s="181">
        <v>19.902865479601687</v>
      </c>
    </row>
    <row r="5918" spans="2:2" ht="15">
      <c r="B5918" s="181">
        <v>12.905529113361366</v>
      </c>
    </row>
    <row r="5919" spans="2:2" ht="15">
      <c r="B5919" s="181">
        <v>11.465784907316603</v>
      </c>
    </row>
    <row r="5920" spans="2:2" ht="15">
      <c r="B5920" s="181">
        <v>13.39053058018151</v>
      </c>
    </row>
    <row r="5921" spans="2:2" ht="15">
      <c r="B5921" s="181">
        <v>39.500336963688447</v>
      </c>
    </row>
    <row r="5922" spans="2:2" ht="15">
      <c r="B5922" s="181">
        <v>15.121760641798325</v>
      </c>
    </row>
    <row r="5923" spans="2:2" ht="15">
      <c r="B5923" s="181">
        <v>23.376184666213437</v>
      </c>
    </row>
    <row r="5924" spans="2:2" ht="15">
      <c r="B5924" s="181">
        <v>17.796304991030656</v>
      </c>
    </row>
    <row r="5925" spans="2:2" ht="15">
      <c r="B5925" s="181">
        <v>29.426757459784991</v>
      </c>
    </row>
    <row r="5926" spans="2:2" ht="15">
      <c r="B5926" s="181">
        <v>34.6119129542233</v>
      </c>
    </row>
    <row r="5927" spans="2:2" ht="15">
      <c r="B5927" s="181">
        <v>22.023586934741118</v>
      </c>
    </row>
    <row r="5928" spans="2:2" ht="15">
      <c r="B5928" s="181">
        <v>21.998542726886377</v>
      </c>
    </row>
    <row r="5929" spans="2:2" ht="15">
      <c r="B5929" s="181">
        <v>30.418093188415344</v>
      </c>
    </row>
    <row r="5930" spans="2:2" ht="15">
      <c r="B5930" s="181">
        <v>25.519960315028158</v>
      </c>
    </row>
    <row r="5931" spans="2:2" ht="15">
      <c r="B5931" s="181">
        <v>17.563796909107523</v>
      </c>
    </row>
    <row r="5932" spans="2:2" ht="15">
      <c r="B5932" s="181">
        <v>13.784268977236655</v>
      </c>
    </row>
    <row r="5933" spans="2:2" ht="15">
      <c r="B5933" s="181">
        <v>18.678584394987872</v>
      </c>
    </row>
    <row r="5934" spans="2:2" ht="15">
      <c r="B5934" s="181">
        <v>20.944987234886788</v>
      </c>
    </row>
    <row r="5935" spans="2:2" ht="15">
      <c r="B5935" s="181">
        <v>10.809733249288774</v>
      </c>
    </row>
    <row r="5936" spans="2:2" ht="15">
      <c r="B5936" s="181">
        <v>47.651067257690826</v>
      </c>
    </row>
    <row r="5937" spans="2:2" ht="15">
      <c r="B5937" s="181">
        <v>34.431030438691117</v>
      </c>
    </row>
    <row r="5938" spans="2:2" ht="15">
      <c r="B5938" s="181">
        <v>21.917745233731814</v>
      </c>
    </row>
    <row r="5939" spans="2:2" ht="15">
      <c r="B5939" s="181">
        <v>39.879854394007467</v>
      </c>
    </row>
    <row r="5940" spans="2:2" ht="15">
      <c r="B5940" s="181">
        <v>25.450283363103107</v>
      </c>
    </row>
    <row r="5941" spans="2:2" ht="15">
      <c r="B5941" s="181">
        <v>27.279180451754591</v>
      </c>
    </row>
    <row r="5942" spans="2:2" ht="15">
      <c r="B5942" s="181">
        <v>33.72335128612373</v>
      </c>
    </row>
    <row r="5943" spans="2:2" ht="15">
      <c r="B5943" s="181">
        <v>8.2905685589833116</v>
      </c>
    </row>
    <row r="5944" spans="2:2" ht="15">
      <c r="B5944" s="181">
        <v>14.82803325822044</v>
      </c>
    </row>
    <row r="5945" spans="2:2" ht="15">
      <c r="B5945" s="181">
        <v>20.968688881246486</v>
      </c>
    </row>
    <row r="5946" spans="2:2" ht="15">
      <c r="B5946" s="181">
        <v>11.466624271363237</v>
      </c>
    </row>
    <row r="5947" spans="2:2" ht="15">
      <c r="B5947" s="181">
        <v>18.507894726955488</v>
      </c>
    </row>
    <row r="5948" spans="2:2" ht="15">
      <c r="B5948" s="181">
        <v>20.110797022278863</v>
      </c>
    </row>
    <row r="5949" spans="2:2" ht="15">
      <c r="B5949" s="181">
        <v>28.469533109251994</v>
      </c>
    </row>
    <row r="5950" spans="2:2" ht="15">
      <c r="B5950" s="181">
        <v>11.651886491661436</v>
      </c>
    </row>
    <row r="5951" spans="2:2" ht="15">
      <c r="B5951" s="181">
        <v>12.97587317451293</v>
      </c>
    </row>
    <row r="5952" spans="2:2" ht="15">
      <c r="B5952" s="181">
        <v>7.1902479532294343</v>
      </c>
    </row>
    <row r="5953" spans="2:2" ht="15">
      <c r="B5953" s="181">
        <v>28.730002693896289</v>
      </c>
    </row>
    <row r="5954" spans="2:2" ht="15">
      <c r="B5954" s="181">
        <v>23.85974966832698</v>
      </c>
    </row>
    <row r="5955" spans="2:2" ht="15">
      <c r="B5955" s="181">
        <v>20.64937285911682</v>
      </c>
    </row>
    <row r="5956" spans="2:2" ht="15">
      <c r="B5956" s="181">
        <v>5.1621151572960855</v>
      </c>
    </row>
    <row r="5957" spans="2:2" ht="15">
      <c r="B5957" s="181">
        <v>14.259097085589039</v>
      </c>
    </row>
    <row r="5958" spans="2:2" ht="15">
      <c r="B5958" s="181">
        <v>10.764315028221358</v>
      </c>
    </row>
    <row r="5959" spans="2:2" ht="15">
      <c r="B5959" s="181">
        <v>25.560627522255828</v>
      </c>
    </row>
    <row r="5960" spans="2:2" ht="15">
      <c r="B5960" s="181">
        <v>13.913377003049899</v>
      </c>
    </row>
    <row r="5961" spans="2:2" ht="15">
      <c r="B5961" s="181">
        <v>29.461398633280812</v>
      </c>
    </row>
    <row r="5962" spans="2:2" ht="15">
      <c r="B5962" s="181">
        <v>9.7487098976932849</v>
      </c>
    </row>
    <row r="5963" spans="2:2" ht="15">
      <c r="B5963" s="181">
        <v>14.955704772447486</v>
      </c>
    </row>
    <row r="5964" spans="2:2" ht="15">
      <c r="B5964" s="181">
        <v>7.5932427417283783</v>
      </c>
    </row>
    <row r="5965" spans="2:2" ht="15">
      <c r="B5965" s="181">
        <v>20.000551378113375</v>
      </c>
    </row>
    <row r="5966" spans="2:2" ht="15">
      <c r="B5966" s="181">
        <v>14.31012290155874</v>
      </c>
    </row>
    <row r="5967" spans="2:2" ht="15">
      <c r="B5967" s="181">
        <v>19.854357300166654</v>
      </c>
    </row>
    <row r="5968" spans="2:2" ht="15">
      <c r="B5968" s="181">
        <v>22.787117371256876</v>
      </c>
    </row>
    <row r="5969" spans="2:2" ht="15">
      <c r="B5969" s="181">
        <v>33.632052281774953</v>
      </c>
    </row>
    <row r="5970" spans="2:2" ht="15">
      <c r="B5970" s="181">
        <v>11.085833905611329</v>
      </c>
    </row>
    <row r="5971" spans="2:2" ht="15">
      <c r="B5971" s="181">
        <v>27.386250719446526</v>
      </c>
    </row>
    <row r="5972" spans="2:2" ht="15">
      <c r="B5972" s="181">
        <v>14.469658274893998</v>
      </c>
    </row>
    <row r="5973" spans="2:2" ht="15">
      <c r="B5973" s="181">
        <v>45.369746944195875</v>
      </c>
    </row>
    <row r="5974" spans="2:2" ht="15">
      <c r="B5974" s="181">
        <v>12.168112452274837</v>
      </c>
    </row>
    <row r="5975" spans="2:2" ht="15">
      <c r="B5975" s="181">
        <v>16.128809560216002</v>
      </c>
    </row>
    <row r="5976" spans="2:2" ht="15">
      <c r="B5976" s="181">
        <v>16.945866099372829</v>
      </c>
    </row>
    <row r="5977" spans="2:2" ht="15">
      <c r="B5977" s="181">
        <v>65.572806164374768</v>
      </c>
    </row>
    <row r="5978" spans="2:2" ht="15">
      <c r="B5978" s="181">
        <v>26.294543398403874</v>
      </c>
    </row>
    <row r="5979" spans="2:2" ht="15">
      <c r="B5979" s="181">
        <v>12.443126249025561</v>
      </c>
    </row>
    <row r="5980" spans="2:2" ht="15">
      <c r="B5980" s="181">
        <v>21.460362438615533</v>
      </c>
    </row>
    <row r="5981" spans="2:2" ht="15">
      <c r="B5981" s="181">
        <v>9.1214509591613719</v>
      </c>
    </row>
    <row r="5982" spans="2:2" ht="15">
      <c r="B5982" s="181">
        <v>24.292938055691629</v>
      </c>
    </row>
    <row r="5983" spans="2:2" ht="15">
      <c r="B5983" s="181">
        <v>24.152301433315042</v>
      </c>
    </row>
    <row r="5984" spans="2:2" ht="15">
      <c r="B5984" s="181">
        <v>31.743367564397392</v>
      </c>
    </row>
    <row r="5985" spans="2:2" ht="15">
      <c r="B5985" s="181">
        <v>9.118288376858299</v>
      </c>
    </row>
    <row r="5986" spans="2:2" ht="15">
      <c r="B5986" s="181">
        <v>24.11307200771093</v>
      </c>
    </row>
    <row r="5987" spans="2:2" ht="15">
      <c r="B5987" s="181">
        <v>19.556487562705623</v>
      </c>
    </row>
    <row r="5988" spans="2:2" ht="15">
      <c r="B5988" s="181">
        <v>5.501210933338176</v>
      </c>
    </row>
    <row r="5989" spans="2:2" ht="15">
      <c r="B5989" s="181">
        <v>9.5893370959746331</v>
      </c>
    </row>
    <row r="5990" spans="2:2" ht="15">
      <c r="B5990" s="181">
        <v>11.320228536896778</v>
      </c>
    </row>
    <row r="5991" spans="2:2" ht="15">
      <c r="B5991" s="181">
        <v>10.857475433961246</v>
      </c>
    </row>
    <row r="5992" spans="2:2" ht="15">
      <c r="B5992" s="181">
        <v>17.419530385142533</v>
      </c>
    </row>
    <row r="5993" spans="2:2" ht="15">
      <c r="B5993" s="181">
        <v>27.335932541491928</v>
      </c>
    </row>
    <row r="5994" spans="2:2" ht="15">
      <c r="B5994" s="181">
        <v>14.445639750498877</v>
      </c>
    </row>
    <row r="5995" spans="2:2" ht="15">
      <c r="B5995" s="181">
        <v>10.269387228064778</v>
      </c>
    </row>
    <row r="5996" spans="2:2" ht="15">
      <c r="B5996" s="181">
        <v>27.287884650475959</v>
      </c>
    </row>
    <row r="5997" spans="2:2" ht="15">
      <c r="B5997" s="181">
        <v>50.473366272015298</v>
      </c>
    </row>
    <row r="5998" spans="2:2" ht="15">
      <c r="B5998" s="181">
        <v>17.292984637624635</v>
      </c>
    </row>
    <row r="5999" spans="2:2" ht="15">
      <c r="B5999" s="181">
        <v>16.652643954345493</v>
      </c>
    </row>
    <row r="6000" spans="2:2" ht="15">
      <c r="B6000" s="181">
        <v>44.753482435998649</v>
      </c>
    </row>
    <row r="6001" spans="2:2" ht="15">
      <c r="B6001" s="181">
        <v>13.364102758392887</v>
      </c>
    </row>
    <row r="6002" spans="2:2" ht="15">
      <c r="B6002" s="181">
        <v>19.768180677296414</v>
      </c>
    </row>
    <row r="6003" spans="2:2" ht="15">
      <c r="B6003" s="181">
        <v>19.90706015636589</v>
      </c>
    </row>
    <row r="6004" spans="2:2" ht="15">
      <c r="B6004" s="181">
        <v>33.657088076146209</v>
      </c>
    </row>
    <row r="6005" spans="2:2" ht="15">
      <c r="B6005" s="181">
        <v>17.553844034253359</v>
      </c>
    </row>
    <row r="6006" spans="2:2" ht="15">
      <c r="B6006" s="181">
        <v>19.166333502141654</v>
      </c>
    </row>
    <row r="6007" spans="2:2" ht="15">
      <c r="B6007" s="181">
        <v>42.156624707571922</v>
      </c>
    </row>
    <row r="6008" spans="2:2" ht="15">
      <c r="B6008" s="181">
        <v>8.7122046640574258</v>
      </c>
    </row>
    <row r="6009" spans="2:2" ht="15">
      <c r="B6009" s="181">
        <v>28.766484531922277</v>
      </c>
    </row>
    <row r="6010" spans="2:2" ht="15">
      <c r="B6010" s="181">
        <v>22.540136105602411</v>
      </c>
    </row>
    <row r="6011" spans="2:2" ht="15">
      <c r="B6011" s="181">
        <v>14.361694637107584</v>
      </c>
    </row>
    <row r="6012" spans="2:2" ht="15">
      <c r="B6012" s="181">
        <v>5.4707910505901163</v>
      </c>
    </row>
    <row r="6013" spans="2:2" ht="15">
      <c r="B6013" s="181">
        <v>12.15326409093008</v>
      </c>
    </row>
    <row r="6014" spans="2:2" ht="15">
      <c r="B6014" s="181">
        <v>7.7838366166614614</v>
      </c>
    </row>
    <row r="6015" spans="2:2" ht="15">
      <c r="B6015" s="181">
        <v>16.497636032565079</v>
      </c>
    </row>
    <row r="6016" spans="2:2" ht="15">
      <c r="B6016" s="181">
        <v>30.743029066696412</v>
      </c>
    </row>
    <row r="6017" spans="2:2" ht="15">
      <c r="B6017" s="181">
        <v>20.663504531932862</v>
      </c>
    </row>
    <row r="6018" spans="2:2" ht="15">
      <c r="B6018" s="181">
        <v>15.835068458122551</v>
      </c>
    </row>
    <row r="6019" spans="2:2" ht="15">
      <c r="B6019" s="181">
        <v>18.876351264707015</v>
      </c>
    </row>
    <row r="6020" spans="2:2" ht="15">
      <c r="B6020" s="181">
        <v>25.911452271000215</v>
      </c>
    </row>
    <row r="6021" spans="2:2" ht="15">
      <c r="B6021" s="181">
        <v>12.965887277657989</v>
      </c>
    </row>
    <row r="6022" spans="2:2" ht="15">
      <c r="B6022" s="181">
        <v>62.905946815595804</v>
      </c>
    </row>
    <row r="6023" spans="2:2" ht="15">
      <c r="B6023" s="181">
        <v>13.347886665159226</v>
      </c>
    </row>
    <row r="6024" spans="2:2" ht="15">
      <c r="B6024" s="181">
        <v>18.177989405973172</v>
      </c>
    </row>
    <row r="6025" spans="2:2" ht="15">
      <c r="B6025" s="181">
        <v>15.962640935654782</v>
      </c>
    </row>
    <row r="6026" spans="2:2" ht="15">
      <c r="B6026" s="181">
        <v>35.267623061902974</v>
      </c>
    </row>
    <row r="6027" spans="2:2" ht="15">
      <c r="B6027" s="181">
        <v>11.271452728263073</v>
      </c>
    </row>
    <row r="6028" spans="2:2" ht="15">
      <c r="B6028" s="181">
        <v>19.906756345102664</v>
      </c>
    </row>
    <row r="6029" spans="2:2" ht="15">
      <c r="B6029" s="181">
        <v>5.164333980154197</v>
      </c>
    </row>
    <row r="6030" spans="2:2" ht="15">
      <c r="B6030" s="181">
        <v>15.720504891772149</v>
      </c>
    </row>
    <row r="6031" spans="2:2" ht="15">
      <c r="B6031" s="181">
        <v>7.0378492883678776</v>
      </c>
    </row>
    <row r="6032" spans="2:2" ht="15">
      <c r="B6032" s="181">
        <v>25.938289184469891</v>
      </c>
    </row>
    <row r="6033" spans="2:2" ht="15">
      <c r="B6033" s="181">
        <v>26.101575550204817</v>
      </c>
    </row>
    <row r="6034" spans="2:2" ht="15">
      <c r="B6034" s="181">
        <v>26.423555266842303</v>
      </c>
    </row>
    <row r="6035" spans="2:2" ht="15">
      <c r="B6035" s="181">
        <v>26.799144982851107</v>
      </c>
    </row>
    <row r="6036" spans="2:2" ht="15">
      <c r="B6036" s="181">
        <v>18.516237366432907</v>
      </c>
    </row>
    <row r="6037" spans="2:2" ht="15">
      <c r="B6037" s="181">
        <v>17.247748059073178</v>
      </c>
    </row>
    <row r="6038" spans="2:2" ht="15">
      <c r="B6038" s="181">
        <v>8.9682907002369028</v>
      </c>
    </row>
    <row r="6039" spans="2:2" ht="15">
      <c r="B6039" s="181">
        <v>24.305926850317903</v>
      </c>
    </row>
    <row r="6040" spans="2:2" ht="15">
      <c r="B6040" s="181">
        <v>35.269027920378392</v>
      </c>
    </row>
    <row r="6041" spans="2:2" ht="15">
      <c r="B6041" s="181">
        <v>7.3112756051080217</v>
      </c>
    </row>
    <row r="6042" spans="2:2" ht="15">
      <c r="B6042" s="181">
        <v>20.476587433389923</v>
      </c>
    </row>
    <row r="6043" spans="2:2" ht="15">
      <c r="B6043" s="181">
        <v>16.573145373764561</v>
      </c>
    </row>
    <row r="6044" spans="2:2" ht="15">
      <c r="B6044" s="181">
        <v>13.688563923105628</v>
      </c>
    </row>
    <row r="6045" spans="2:2" ht="15">
      <c r="B6045" s="181">
        <v>22.463625205517882</v>
      </c>
    </row>
    <row r="6046" spans="2:2" ht="15">
      <c r="B6046" s="181">
        <v>10.875681180336269</v>
      </c>
    </row>
    <row r="6047" spans="2:2" ht="15">
      <c r="B6047" s="181">
        <v>16.230898825281002</v>
      </c>
    </row>
    <row r="6048" spans="2:2" ht="15">
      <c r="B6048" s="181">
        <v>23.091358242127711</v>
      </c>
    </row>
    <row r="6049" spans="2:2" ht="15">
      <c r="B6049" s="181">
        <v>28.417591401601605</v>
      </c>
    </row>
    <row r="6050" spans="2:2" ht="15">
      <c r="B6050" s="181">
        <v>8.9238639430750304</v>
      </c>
    </row>
    <row r="6051" spans="2:2" ht="15">
      <c r="B6051" s="181">
        <v>19.183689278817123</v>
      </c>
    </row>
    <row r="6052" spans="2:2" ht="15">
      <c r="B6052" s="181">
        <v>22.130554503111878</v>
      </c>
    </row>
    <row r="6053" spans="2:2" ht="15">
      <c r="B6053" s="181">
        <v>12.423234543872148</v>
      </c>
    </row>
    <row r="6054" spans="2:2" ht="15">
      <c r="B6054" s="181">
        <v>41.587961828267218</v>
      </c>
    </row>
    <row r="6055" spans="2:2" ht="15">
      <c r="B6055" s="181">
        <v>5.8337347876690568</v>
      </c>
    </row>
    <row r="6056" spans="2:2" ht="15">
      <c r="B6056" s="181">
        <v>35.97869958377872</v>
      </c>
    </row>
    <row r="6057" spans="2:2" ht="15">
      <c r="B6057" s="181">
        <v>17.685608462213906</v>
      </c>
    </row>
    <row r="6058" spans="2:2" ht="15">
      <c r="B6058" s="181">
        <v>34.575299480703102</v>
      </c>
    </row>
    <row r="6059" spans="2:2" ht="15">
      <c r="B6059" s="181">
        <v>12.173014412054515</v>
      </c>
    </row>
    <row r="6060" spans="2:2" ht="15">
      <c r="B6060" s="181">
        <v>6.1569299293526791</v>
      </c>
    </row>
    <row r="6061" spans="2:2" ht="15">
      <c r="B6061" s="181">
        <v>23.199161851208892</v>
      </c>
    </row>
    <row r="6062" spans="2:2" ht="15">
      <c r="B6062" s="181">
        <v>14.283161178642038</v>
      </c>
    </row>
    <row r="6063" spans="2:2" ht="15">
      <c r="B6063" s="181">
        <v>25.866942095605307</v>
      </c>
    </row>
    <row r="6064" spans="2:2" ht="15">
      <c r="B6064" s="181">
        <v>15.798020103131103</v>
      </c>
    </row>
    <row r="6065" spans="2:2" ht="15">
      <c r="B6065" s="181">
        <v>14.889830872968222</v>
      </c>
    </row>
    <row r="6066" spans="2:2" ht="15">
      <c r="B6066" s="181">
        <v>13.13808310744937</v>
      </c>
    </row>
    <row r="6067" spans="2:2" ht="15">
      <c r="B6067" s="181">
        <v>12.620794668486102</v>
      </c>
    </row>
    <row r="6068" spans="2:2" ht="15">
      <c r="B6068" s="181">
        <v>26.159428413570879</v>
      </c>
    </row>
    <row r="6069" spans="2:2" ht="15">
      <c r="B6069" s="181">
        <v>16.455796634120258</v>
      </c>
    </row>
    <row r="6070" spans="2:2" ht="15">
      <c r="B6070" s="181">
        <v>15.216246903491378</v>
      </c>
    </row>
    <row r="6071" spans="2:2" ht="15">
      <c r="B6071" s="181">
        <v>12.324847196422734</v>
      </c>
    </row>
    <row r="6072" spans="2:2" ht="15">
      <c r="B6072" s="181">
        <v>10.92177122107023</v>
      </c>
    </row>
    <row r="6073" spans="2:2" ht="15">
      <c r="B6073" s="181">
        <v>12.048659831556316</v>
      </c>
    </row>
    <row r="6074" spans="2:2" ht="15">
      <c r="B6074" s="181">
        <v>8.0608709316478198</v>
      </c>
    </row>
    <row r="6075" spans="2:2" ht="15">
      <c r="B6075" s="181">
        <v>26.096053100384612</v>
      </c>
    </row>
    <row r="6076" spans="2:2" ht="15">
      <c r="B6076" s="181">
        <v>12.793193526359467</v>
      </c>
    </row>
    <row r="6077" spans="2:2" ht="15">
      <c r="B6077" s="181">
        <v>18.254794315681348</v>
      </c>
    </row>
    <row r="6078" spans="2:2" ht="15">
      <c r="B6078" s="181">
        <v>4.4936033850406272</v>
      </c>
    </row>
    <row r="6079" spans="2:2" ht="15">
      <c r="B6079" s="181">
        <v>22.983469433253525</v>
      </c>
    </row>
    <row r="6080" spans="2:2" ht="15">
      <c r="B6080" s="181">
        <v>10.240612728614646</v>
      </c>
    </row>
    <row r="6081" spans="2:2" ht="15">
      <c r="B6081" s="181">
        <v>27.390702843345149</v>
      </c>
    </row>
    <row r="6082" spans="2:2" ht="15">
      <c r="B6082" s="181">
        <v>10.485398025974296</v>
      </c>
    </row>
    <row r="6083" spans="2:2" ht="15">
      <c r="B6083" s="181">
        <v>6.9669623111494428</v>
      </c>
    </row>
    <row r="6084" spans="2:2" ht="15">
      <c r="B6084" s="181">
        <v>9.2127032421625703</v>
      </c>
    </row>
    <row r="6085" spans="2:2" ht="15">
      <c r="B6085" s="181">
        <v>9.6774622727221757</v>
      </c>
    </row>
    <row r="6086" spans="2:2" ht="15">
      <c r="B6086" s="181">
        <v>20.229368101989518</v>
      </c>
    </row>
    <row r="6087" spans="2:2" ht="15">
      <c r="B6087" s="181">
        <v>13.218866187138469</v>
      </c>
    </row>
    <row r="6088" spans="2:2" ht="15">
      <c r="B6088" s="181">
        <v>26.494390371425947</v>
      </c>
    </row>
    <row r="6089" spans="2:2" ht="15">
      <c r="B6089" s="181">
        <v>12.49007868851716</v>
      </c>
    </row>
    <row r="6090" spans="2:2" ht="15">
      <c r="B6090" s="181">
        <v>26.868748058847199</v>
      </c>
    </row>
    <row r="6091" spans="2:2" ht="15">
      <c r="B6091" s="181">
        <v>23.429289444944061</v>
      </c>
    </row>
    <row r="6092" spans="2:2" ht="15">
      <c r="B6092" s="181">
        <v>15.900024395242031</v>
      </c>
    </row>
    <row r="6093" spans="2:2" ht="15">
      <c r="B6093" s="181">
        <v>19.256773484953413</v>
      </c>
    </row>
    <row r="6094" spans="2:2" ht="15">
      <c r="B6094" s="181">
        <v>15.317488463542041</v>
      </c>
    </row>
    <row r="6095" spans="2:2" ht="15">
      <c r="B6095" s="181">
        <v>22.562741046425359</v>
      </c>
    </row>
    <row r="6096" spans="2:2" ht="15">
      <c r="B6096" s="181">
        <v>16.358671207907005</v>
      </c>
    </row>
    <row r="6097" spans="2:2" ht="15">
      <c r="B6097" s="181">
        <v>25.719038290407092</v>
      </c>
    </row>
    <row r="6098" spans="2:2" ht="15">
      <c r="B6098" s="181">
        <v>6.8951759533802761</v>
      </c>
    </row>
    <row r="6099" spans="2:2" ht="15">
      <c r="B6099" s="181">
        <v>26.880043322748072</v>
      </c>
    </row>
    <row r="6100" spans="2:2" ht="15">
      <c r="B6100" s="181">
        <v>10.183037696639248</v>
      </c>
    </row>
    <row r="6101" spans="2:2" ht="15">
      <c r="B6101" s="181">
        <v>21.380512488387328</v>
      </c>
    </row>
    <row r="6102" spans="2:2" ht="15">
      <c r="B6102" s="181">
        <v>11.114341882858735</v>
      </c>
    </row>
    <row r="6103" spans="2:2" ht="15">
      <c r="B6103" s="181">
        <v>34.494750199318702</v>
      </c>
    </row>
    <row r="6104" spans="2:2" ht="15">
      <c r="B6104" s="181">
        <v>34.516742963042581</v>
      </c>
    </row>
    <row r="6105" spans="2:2" ht="15">
      <c r="B6105" s="181">
        <v>15.57287773893697</v>
      </c>
    </row>
    <row r="6106" spans="2:2" ht="15">
      <c r="B6106" s="181">
        <v>24.299952970735003</v>
      </c>
    </row>
    <row r="6107" spans="2:2" ht="15">
      <c r="B6107" s="181">
        <v>24.841179843290426</v>
      </c>
    </row>
    <row r="6108" spans="2:2" ht="15">
      <c r="B6108" s="181">
        <v>10.803865235213511</v>
      </c>
    </row>
    <row r="6109" spans="2:2" ht="15">
      <c r="B6109" s="181">
        <v>23.95772369735619</v>
      </c>
    </row>
    <row r="6110" spans="2:2" ht="15">
      <c r="B6110" s="181">
        <v>9.528996237766389</v>
      </c>
    </row>
    <row r="6111" spans="2:2" ht="15">
      <c r="B6111" s="181">
        <v>7.1139044099978834</v>
      </c>
    </row>
    <row r="6112" spans="2:2" ht="15">
      <c r="B6112" s="181">
        <v>22.192194759423053</v>
      </c>
    </row>
    <row r="6113" spans="2:2" ht="15">
      <c r="B6113" s="181">
        <v>15.066240462841845</v>
      </c>
    </row>
    <row r="6114" spans="2:2" ht="15">
      <c r="B6114" s="181">
        <v>14.639248841541621</v>
      </c>
    </row>
    <row r="6115" spans="2:2" ht="15">
      <c r="B6115" s="181">
        <v>11.463615482691335</v>
      </c>
    </row>
    <row r="6116" spans="2:2" ht="15">
      <c r="B6116" s="181">
        <v>28.992274269664644</v>
      </c>
    </row>
    <row r="6117" spans="2:2" ht="15">
      <c r="B6117" s="181">
        <v>15.136142322353507</v>
      </c>
    </row>
    <row r="6118" spans="2:2" ht="15">
      <c r="B6118" s="181">
        <v>21.607518451274863</v>
      </c>
    </row>
    <row r="6119" spans="2:2" ht="15">
      <c r="B6119" s="181">
        <v>17.607492860983534</v>
      </c>
    </row>
    <row r="6120" spans="2:2" ht="15">
      <c r="B6120" s="181">
        <v>42.549583877284178</v>
      </c>
    </row>
    <row r="6121" spans="2:2" ht="15">
      <c r="B6121" s="181">
        <v>16.540585009564378</v>
      </c>
    </row>
    <row r="6122" spans="2:2" ht="15">
      <c r="B6122" s="181">
        <v>15.723098990317512</v>
      </c>
    </row>
    <row r="6123" spans="2:2" ht="15">
      <c r="B6123" s="181">
        <v>9.5361019141143668</v>
      </c>
    </row>
    <row r="6124" spans="2:2" ht="15">
      <c r="B6124" s="181">
        <v>29.140102119256255</v>
      </c>
    </row>
    <row r="6125" spans="2:2" ht="15">
      <c r="B6125" s="181">
        <v>25.844676815239112</v>
      </c>
    </row>
    <row r="6126" spans="2:2" ht="15">
      <c r="B6126" s="181">
        <v>18.042032027340877</v>
      </c>
    </row>
    <row r="6127" spans="2:2" ht="15">
      <c r="B6127" s="181">
        <v>22.459918981403526</v>
      </c>
    </row>
    <row r="6128" spans="2:2" ht="15">
      <c r="B6128" s="181">
        <v>13.160520389423487</v>
      </c>
    </row>
    <row r="6129" spans="2:2" ht="15">
      <c r="B6129" s="181">
        <v>13.586044136353463</v>
      </c>
    </row>
    <row r="6130" spans="2:2" ht="15">
      <c r="B6130" s="181">
        <v>25.913528290027511</v>
      </c>
    </row>
    <row r="6131" spans="2:2" ht="15">
      <c r="B6131" s="181">
        <v>29.189021559770275</v>
      </c>
    </row>
    <row r="6132" spans="2:2" ht="15">
      <c r="B6132" s="181">
        <v>18.510666208062414</v>
      </c>
    </row>
    <row r="6133" spans="2:2" ht="15">
      <c r="B6133" s="181">
        <v>26.291538981852021</v>
      </c>
    </row>
    <row r="6134" spans="2:2" ht="15">
      <c r="B6134" s="181">
        <v>11.934171327228547</v>
      </c>
    </row>
    <row r="6135" spans="2:2" ht="15">
      <c r="B6135" s="181">
        <v>8.8269172612294575</v>
      </c>
    </row>
    <row r="6136" spans="2:2" ht="15">
      <c r="B6136" s="181">
        <v>21.986908550303653</v>
      </c>
    </row>
    <row r="6137" spans="2:2" ht="15">
      <c r="B6137" s="181">
        <v>6.4161457739126311</v>
      </c>
    </row>
    <row r="6138" spans="2:2" ht="15">
      <c r="B6138" s="181">
        <v>22.682615851444137</v>
      </c>
    </row>
    <row r="6139" spans="2:2" ht="15">
      <c r="B6139" s="181">
        <v>12.431196366840588</v>
      </c>
    </row>
    <row r="6140" spans="2:2" ht="15">
      <c r="B6140" s="181">
        <v>30.362139294225297</v>
      </c>
    </row>
    <row r="6141" spans="2:2" ht="15">
      <c r="B6141" s="181">
        <v>12.281706663991212</v>
      </c>
    </row>
    <row r="6142" spans="2:2" ht="15">
      <c r="B6142" s="181">
        <v>28.809778248083877</v>
      </c>
    </row>
    <row r="6143" spans="2:2" ht="15">
      <c r="B6143" s="181">
        <v>11.370006833800097</v>
      </c>
    </row>
    <row r="6144" spans="2:2" ht="15">
      <c r="B6144" s="181">
        <v>4.7260023424754278</v>
      </c>
    </row>
    <row r="6145" spans="2:2" ht="15">
      <c r="B6145" s="181">
        <v>10.03247801255208</v>
      </c>
    </row>
    <row r="6146" spans="2:2" ht="15">
      <c r="B6146" s="181">
        <v>11.188226162176811</v>
      </c>
    </row>
    <row r="6147" spans="2:2" ht="15">
      <c r="B6147" s="181">
        <v>29.15671066413492</v>
      </c>
    </row>
    <row r="6148" spans="2:2" ht="15">
      <c r="B6148" s="181">
        <v>37.593279538633581</v>
      </c>
    </row>
    <row r="6149" spans="2:2" ht="15">
      <c r="B6149" s="181">
        <v>22.366174465042917</v>
      </c>
    </row>
    <row r="6150" spans="2:2" ht="15">
      <c r="B6150" s="181">
        <v>12.858222298871242</v>
      </c>
    </row>
    <row r="6151" spans="2:2" ht="15">
      <c r="B6151" s="181">
        <v>8.3906042759273518</v>
      </c>
    </row>
    <row r="6152" spans="2:2" ht="15">
      <c r="B6152" s="181">
        <v>60.73308965924042</v>
      </c>
    </row>
    <row r="6153" spans="2:2" ht="15">
      <c r="B6153" s="181">
        <v>14.509063290118489</v>
      </c>
    </row>
    <row r="6154" spans="2:2" ht="15">
      <c r="B6154" s="181">
        <v>12.003894237998425</v>
      </c>
    </row>
    <row r="6155" spans="2:2" ht="15">
      <c r="B6155" s="181">
        <v>28.219537844745485</v>
      </c>
    </row>
    <row r="6156" spans="2:2" ht="15">
      <c r="B6156" s="181">
        <v>9.7758946040431081</v>
      </c>
    </row>
    <row r="6157" spans="2:2" ht="15">
      <c r="B6157" s="181">
        <v>24.895570100516977</v>
      </c>
    </row>
    <row r="6158" spans="2:2" ht="15">
      <c r="B6158" s="181">
        <v>13.558604312721055</v>
      </c>
    </row>
    <row r="6159" spans="2:2" ht="15">
      <c r="B6159" s="181">
        <v>31.17879075021235</v>
      </c>
    </row>
    <row r="6160" spans="2:2" ht="15">
      <c r="B6160" s="181">
        <v>18.785544276436969</v>
      </c>
    </row>
    <row r="6161" spans="2:2" ht="15">
      <c r="B6161" s="181">
        <v>43.885373167401504</v>
      </c>
    </row>
    <row r="6162" spans="2:2" ht="15">
      <c r="B6162" s="181">
        <v>11.736247437772818</v>
      </c>
    </row>
    <row r="6163" spans="2:2" ht="15">
      <c r="B6163" s="181">
        <v>30.120459540158588</v>
      </c>
    </row>
    <row r="6164" spans="2:2" ht="15">
      <c r="B6164" s="181">
        <v>14.078990890814776</v>
      </c>
    </row>
    <row r="6165" spans="2:2" ht="15">
      <c r="B6165" s="181">
        <v>17.646359934702009</v>
      </c>
    </row>
    <row r="6166" spans="2:2" ht="15">
      <c r="B6166" s="181">
        <v>16.396228246721908</v>
      </c>
    </row>
    <row r="6167" spans="2:2" ht="15">
      <c r="B6167" s="181">
        <v>11.229917563105356</v>
      </c>
    </row>
    <row r="6168" spans="2:2" ht="15">
      <c r="B6168" s="181">
        <v>9.2684837646109486</v>
      </c>
    </row>
    <row r="6169" spans="2:2" ht="15">
      <c r="B6169" s="181">
        <v>23.773391876759923</v>
      </c>
    </row>
    <row r="6170" spans="2:2" ht="15">
      <c r="B6170" s="181">
        <v>20.633926758687803</v>
      </c>
    </row>
    <row r="6171" spans="2:2" ht="15">
      <c r="B6171" s="181">
        <v>25.875720638333252</v>
      </c>
    </row>
    <row r="6172" spans="2:2" ht="15">
      <c r="B6172" s="181">
        <v>24.702640485991033</v>
      </c>
    </row>
    <row r="6173" spans="2:2" ht="15">
      <c r="B6173" s="181">
        <v>21.417457258465365</v>
      </c>
    </row>
    <row r="6174" spans="2:2" ht="15">
      <c r="B6174" s="181">
        <v>5.6593334477809716</v>
      </c>
    </row>
    <row r="6175" spans="2:2" ht="15">
      <c r="B6175" s="181">
        <v>22.765606898401352</v>
      </c>
    </row>
    <row r="6176" spans="2:2" ht="15">
      <c r="B6176" s="181">
        <v>18.825376460964033</v>
      </c>
    </row>
    <row r="6177" spans="2:2" ht="15">
      <c r="B6177" s="181">
        <v>32.643058755863223</v>
      </c>
    </row>
    <row r="6178" spans="2:2" ht="15">
      <c r="B6178" s="181">
        <v>12.027547431408459</v>
      </c>
    </row>
    <row r="6179" spans="2:2" ht="15">
      <c r="B6179" s="181">
        <v>15.525086227850387</v>
      </c>
    </row>
    <row r="6180" spans="2:2" ht="15">
      <c r="B6180" s="181">
        <v>16.618824476526022</v>
      </c>
    </row>
    <row r="6181" spans="2:2" ht="15">
      <c r="B6181" s="181">
        <v>12.763155253812918</v>
      </c>
    </row>
    <row r="6182" spans="2:2" ht="15">
      <c r="B6182" s="181">
        <v>23.731253627265954</v>
      </c>
    </row>
    <row r="6183" spans="2:2" ht="15">
      <c r="B6183" s="181">
        <v>9.0062676155644308</v>
      </c>
    </row>
    <row r="6184" spans="2:2" ht="15">
      <c r="B6184" s="181">
        <v>21.35554441537753</v>
      </c>
    </row>
    <row r="6185" spans="2:2" ht="15">
      <c r="B6185" s="181">
        <v>8.8390990853796545</v>
      </c>
    </row>
    <row r="6186" spans="2:2" ht="15">
      <c r="B6186" s="181">
        <v>38.873069749870432</v>
      </c>
    </row>
    <row r="6187" spans="2:2" ht="15">
      <c r="B6187" s="181">
        <v>6.2437966874310806</v>
      </c>
    </row>
    <row r="6188" spans="2:2" ht="15">
      <c r="B6188" s="181">
        <v>24.182565595439698</v>
      </c>
    </row>
    <row r="6189" spans="2:2" ht="15">
      <c r="B6189" s="181">
        <v>13.095575333249309</v>
      </c>
    </row>
    <row r="6190" spans="2:2" ht="15">
      <c r="B6190" s="181">
        <v>23.101799748267084</v>
      </c>
    </row>
    <row r="6191" spans="2:2" ht="15">
      <c r="B6191" s="181">
        <v>21.324928311568261</v>
      </c>
    </row>
    <row r="6192" spans="2:2" ht="15">
      <c r="B6192" s="181">
        <v>15.989235165790967</v>
      </c>
    </row>
    <row r="6193" spans="2:2" ht="15">
      <c r="B6193" s="181">
        <v>23.392599936345299</v>
      </c>
    </row>
    <row r="6194" spans="2:2" ht="15">
      <c r="B6194" s="181">
        <v>18.563883539295663</v>
      </c>
    </row>
    <row r="6195" spans="2:2" ht="15">
      <c r="B6195" s="181">
        <v>12.120697016430764</v>
      </c>
    </row>
    <row r="6196" spans="2:2" ht="15">
      <c r="B6196" s="181">
        <v>12.533982907734915</v>
      </c>
    </row>
    <row r="6197" spans="2:2" ht="15">
      <c r="B6197" s="181">
        <v>9.5258484278044051</v>
      </c>
    </row>
    <row r="6198" spans="2:2" ht="15">
      <c r="B6198" s="181">
        <v>28.674994612858622</v>
      </c>
    </row>
    <row r="6199" spans="2:2" ht="15">
      <c r="B6199" s="181">
        <v>28.342840315599599</v>
      </c>
    </row>
    <row r="6200" spans="2:2" ht="15">
      <c r="B6200" s="181">
        <v>45.882703768505145</v>
      </c>
    </row>
    <row r="6201" spans="2:2" ht="15">
      <c r="B6201" s="181">
        <v>23.420923741751654</v>
      </c>
    </row>
    <row r="6202" spans="2:2" ht="15">
      <c r="B6202" s="181">
        <v>32.268425158026872</v>
      </c>
    </row>
    <row r="6203" spans="2:2" ht="15">
      <c r="B6203" s="181">
        <v>38.644632339629368</v>
      </c>
    </row>
    <row r="6204" spans="2:2" ht="15">
      <c r="B6204" s="181">
        <v>15.1279067487233</v>
      </c>
    </row>
    <row r="6205" spans="2:2" ht="15">
      <c r="B6205" s="181">
        <v>37.11437884748922</v>
      </c>
    </row>
    <row r="6206" spans="2:2" ht="15">
      <c r="B6206" s="181">
        <v>14.716104268525733</v>
      </c>
    </row>
    <row r="6207" spans="2:2" ht="15">
      <c r="B6207" s="181">
        <v>11.82527112504018</v>
      </c>
    </row>
    <row r="6208" spans="2:2" ht="15">
      <c r="B6208" s="181">
        <v>10.364938131634316</v>
      </c>
    </row>
    <row r="6209" spans="2:2" ht="15">
      <c r="B6209" s="181">
        <v>33.251933032453863</v>
      </c>
    </row>
    <row r="6210" spans="2:2" ht="15">
      <c r="B6210" s="181">
        <v>10.151495476900278</v>
      </c>
    </row>
    <row r="6211" spans="2:2" ht="15">
      <c r="B6211" s="181">
        <v>19.626475366804211</v>
      </c>
    </row>
    <row r="6212" spans="2:2" ht="15">
      <c r="B6212" s="181">
        <v>36.193145510464873</v>
      </c>
    </row>
    <row r="6213" spans="2:2" ht="15">
      <c r="B6213" s="181">
        <v>6.7075097532251728</v>
      </c>
    </row>
    <row r="6214" spans="2:2" ht="15">
      <c r="B6214" s="181">
        <v>10.042064339087053</v>
      </c>
    </row>
    <row r="6215" spans="2:2" ht="15">
      <c r="B6215" s="181">
        <v>17.31008294766054</v>
      </c>
    </row>
    <row r="6216" spans="2:2" ht="15">
      <c r="B6216" s="181">
        <v>36.873367229629977</v>
      </c>
    </row>
    <row r="6217" spans="2:2" ht="15">
      <c r="B6217" s="181">
        <v>23.870780594678987</v>
      </c>
    </row>
    <row r="6218" spans="2:2" ht="15">
      <c r="B6218" s="181">
        <v>41.665062847490589</v>
      </c>
    </row>
    <row r="6219" spans="2:2" ht="15">
      <c r="B6219" s="181">
        <v>11.233671685334736</v>
      </c>
    </row>
    <row r="6220" spans="2:2" ht="15">
      <c r="B6220" s="181">
        <v>29.000521589445764</v>
      </c>
    </row>
    <row r="6221" spans="2:2" ht="15">
      <c r="B6221" s="181">
        <v>15.210402890124861</v>
      </c>
    </row>
    <row r="6222" spans="2:2" ht="15">
      <c r="B6222" s="181">
        <v>18.738945921778591</v>
      </c>
    </row>
    <row r="6223" spans="2:2" ht="15">
      <c r="B6223" s="181">
        <v>12.957567687916399</v>
      </c>
    </row>
    <row r="6224" spans="2:2" ht="15">
      <c r="B6224" s="181">
        <v>19.744808605951082</v>
      </c>
    </row>
    <row r="6225" spans="2:2" ht="15">
      <c r="B6225" s="181">
        <v>10.397603696914619</v>
      </c>
    </row>
    <row r="6226" spans="2:2" ht="15">
      <c r="B6226" s="181">
        <v>25.807459659607627</v>
      </c>
    </row>
    <row r="6227" spans="2:2" ht="15">
      <c r="B6227" s="181">
        <v>9.2448198623966711</v>
      </c>
    </row>
    <row r="6228" spans="2:2" ht="15">
      <c r="B6228" s="181">
        <v>15.860516003450313</v>
      </c>
    </row>
    <row r="6229" spans="2:2" ht="15">
      <c r="B6229" s="181">
        <v>27.959962368504971</v>
      </c>
    </row>
    <row r="6230" spans="2:2" ht="15">
      <c r="B6230" s="181">
        <v>27.897665674013467</v>
      </c>
    </row>
    <row r="6231" spans="2:2" ht="15">
      <c r="B6231" s="181">
        <v>16.121839974263054</v>
      </c>
    </row>
    <row r="6232" spans="2:2" ht="15">
      <c r="B6232" s="181">
        <v>19.515227166400074</v>
      </c>
    </row>
    <row r="6233" spans="2:2" ht="15">
      <c r="B6233" s="181">
        <v>24.977630005541684</v>
      </c>
    </row>
    <row r="6234" spans="2:2" ht="15">
      <c r="B6234" s="181">
        <v>25.374612561701131</v>
      </c>
    </row>
    <row r="6235" spans="2:2" ht="15">
      <c r="B6235" s="181">
        <v>15.864652750002328</v>
      </c>
    </row>
    <row r="6236" spans="2:2" ht="15">
      <c r="B6236" s="181">
        <v>9.0726911371909207</v>
      </c>
    </row>
    <row r="6237" spans="2:2" ht="15">
      <c r="B6237" s="181">
        <v>26.711217178768262</v>
      </c>
    </row>
    <row r="6238" spans="2:2" ht="15">
      <c r="B6238" s="181">
        <v>5.8628704864121666</v>
      </c>
    </row>
    <row r="6239" spans="2:2" ht="15">
      <c r="B6239" s="181">
        <v>42.852058649422901</v>
      </c>
    </row>
    <row r="6240" spans="2:2" ht="15">
      <c r="B6240" s="181">
        <v>10.078884863398391</v>
      </c>
    </row>
    <row r="6241" spans="2:2" ht="15">
      <c r="B6241" s="181">
        <v>44.550427889513507</v>
      </c>
    </row>
    <row r="6242" spans="2:2" ht="15">
      <c r="B6242" s="181">
        <v>35.553982570656956</v>
      </c>
    </row>
    <row r="6243" spans="2:2" ht="15">
      <c r="B6243" s="181">
        <v>9.0527407584666815</v>
      </c>
    </row>
    <row r="6244" spans="2:2" ht="15">
      <c r="B6244" s="181">
        <v>40.756781356894358</v>
      </c>
    </row>
    <row r="6245" spans="2:2" ht="15">
      <c r="B6245" s="181">
        <v>10.96851230929761</v>
      </c>
    </row>
    <row r="6246" spans="2:2" ht="15">
      <c r="B6246" s="181">
        <v>10.305431570098126</v>
      </c>
    </row>
    <row r="6247" spans="2:2" ht="15">
      <c r="B6247" s="181">
        <v>4.1118771368518772</v>
      </c>
    </row>
    <row r="6248" spans="2:2" ht="15">
      <c r="B6248" s="181">
        <v>15.044777253047558</v>
      </c>
    </row>
    <row r="6249" spans="2:2" ht="15">
      <c r="B6249" s="181">
        <v>31.461808600875873</v>
      </c>
    </row>
    <row r="6250" spans="2:2" ht="15">
      <c r="B6250" s="181">
        <v>26.020128488213519</v>
      </c>
    </row>
    <row r="6251" spans="2:2" ht="15">
      <c r="B6251" s="181">
        <v>13.730442634371357</v>
      </c>
    </row>
    <row r="6252" spans="2:2" ht="15">
      <c r="B6252" s="181">
        <v>10.276115581383877</v>
      </c>
    </row>
    <row r="6253" spans="2:2" ht="15">
      <c r="B6253" s="181">
        <v>30.738441470069091</v>
      </c>
    </row>
    <row r="6254" spans="2:2" ht="15">
      <c r="B6254" s="181">
        <v>13.053322110050752</v>
      </c>
    </row>
    <row r="6255" spans="2:2" ht="15">
      <c r="B6255" s="181">
        <v>29.357343905421772</v>
      </c>
    </row>
    <row r="6256" spans="2:2" ht="15">
      <c r="B6256" s="181">
        <v>13.907963011376987</v>
      </c>
    </row>
    <row r="6257" spans="2:2" ht="15">
      <c r="B6257" s="181">
        <v>4.6338150824301669</v>
      </c>
    </row>
    <row r="6258" spans="2:2" ht="15">
      <c r="B6258" s="181">
        <v>19.100606463491541</v>
      </c>
    </row>
    <row r="6259" spans="2:2" ht="15">
      <c r="B6259" s="181">
        <v>15.586763975734696</v>
      </c>
    </row>
    <row r="6260" spans="2:2" ht="15">
      <c r="B6260" s="181">
        <v>25.155846953924886</v>
      </c>
    </row>
    <row r="6261" spans="2:2" ht="15">
      <c r="B6261" s="181">
        <v>21.408599785161794</v>
      </c>
    </row>
    <row r="6262" spans="2:2" ht="15">
      <c r="B6262" s="181">
        <v>10.502213175171063</v>
      </c>
    </row>
    <row r="6263" spans="2:2" ht="15">
      <c r="B6263" s="181">
        <v>20.245269624754513</v>
      </c>
    </row>
    <row r="6264" spans="2:2" ht="15">
      <c r="B6264" s="181">
        <v>31.094270087404944</v>
      </c>
    </row>
    <row r="6265" spans="2:2" ht="15">
      <c r="B6265" s="181">
        <v>14.360748998110378</v>
      </c>
    </row>
    <row r="6266" spans="2:2" ht="15">
      <c r="B6266" s="181">
        <v>22.866913173293558</v>
      </c>
    </row>
    <row r="6267" spans="2:2" ht="15">
      <c r="B6267" s="181">
        <v>12.75927988867759</v>
      </c>
    </row>
    <row r="6268" spans="2:2" ht="15">
      <c r="B6268" s="181">
        <v>20.335402271801904</v>
      </c>
    </row>
    <row r="6269" spans="2:2" ht="15">
      <c r="B6269" s="181">
        <v>24.907273771787125</v>
      </c>
    </row>
    <row r="6270" spans="2:2" ht="15">
      <c r="B6270" s="181">
        <v>10.993593180761961</v>
      </c>
    </row>
    <row r="6271" spans="2:2" ht="15">
      <c r="B6271" s="181">
        <v>45.474837420743576</v>
      </c>
    </row>
    <row r="6272" spans="2:2" ht="15">
      <c r="B6272" s="181">
        <v>22.411486304549264</v>
      </c>
    </row>
    <row r="6273" spans="2:2" ht="15">
      <c r="B6273" s="181">
        <v>20.579411216875275</v>
      </c>
    </row>
    <row r="6274" spans="2:2" ht="15">
      <c r="B6274" s="181">
        <v>13.744130850386943</v>
      </c>
    </row>
    <row r="6275" spans="2:2" ht="15">
      <c r="B6275" s="181">
        <v>4.5446098945627105</v>
      </c>
    </row>
    <row r="6276" spans="2:2" ht="15">
      <c r="B6276" s="181">
        <v>14.006494880477865</v>
      </c>
    </row>
    <row r="6277" spans="2:2" ht="15">
      <c r="B6277" s="181">
        <v>17.655448740872558</v>
      </c>
    </row>
    <row r="6278" spans="2:2" ht="15">
      <c r="B6278" s="181">
        <v>20.335922673763211</v>
      </c>
    </row>
    <row r="6279" spans="2:2" ht="15">
      <c r="B6279" s="181">
        <v>31.620432096989095</v>
      </c>
    </row>
    <row r="6280" spans="2:2" ht="15">
      <c r="B6280" s="181">
        <v>16.343516177580057</v>
      </c>
    </row>
    <row r="6281" spans="2:2" ht="15">
      <c r="B6281" s="181">
        <v>8.8697500292410503</v>
      </c>
    </row>
    <row r="6282" spans="2:2" ht="15">
      <c r="B6282" s="181">
        <v>13.947972180388978</v>
      </c>
    </row>
    <row r="6283" spans="2:2" ht="15">
      <c r="B6283" s="181">
        <v>8.6314898243389617</v>
      </c>
    </row>
    <row r="6284" spans="2:2" ht="15">
      <c r="B6284" s="181">
        <v>22.868649981667019</v>
      </c>
    </row>
    <row r="6285" spans="2:2" ht="15">
      <c r="B6285" s="181">
        <v>8.251863294020449</v>
      </c>
    </row>
    <row r="6286" spans="2:2" ht="15">
      <c r="B6286" s="181">
        <v>17.621277902947334</v>
      </c>
    </row>
    <row r="6287" spans="2:2" ht="15">
      <c r="B6287" s="181">
        <v>39.322819753430252</v>
      </c>
    </row>
    <row r="6288" spans="2:2" ht="15">
      <c r="B6288" s="181">
        <v>14.85419245412989</v>
      </c>
    </row>
    <row r="6289" spans="2:2" ht="15">
      <c r="B6289" s="181">
        <v>9.1003400121699425</v>
      </c>
    </row>
    <row r="6290" spans="2:2" ht="15">
      <c r="B6290" s="181">
        <v>7.8948754371911418</v>
      </c>
    </row>
    <row r="6291" spans="2:2" ht="15">
      <c r="B6291" s="181">
        <v>37.859132630172397</v>
      </c>
    </row>
    <row r="6292" spans="2:2" ht="15">
      <c r="B6292" s="181">
        <v>9.924627033329271</v>
      </c>
    </row>
    <row r="6293" spans="2:2" ht="15">
      <c r="B6293" s="181">
        <v>15.647311733246388</v>
      </c>
    </row>
    <row r="6294" spans="2:2" ht="15">
      <c r="B6294" s="181">
        <v>15.218548347967918</v>
      </c>
    </row>
    <row r="6295" spans="2:2" ht="15">
      <c r="B6295" s="181">
        <v>24.74357036668502</v>
      </c>
    </row>
    <row r="6296" spans="2:2" ht="15">
      <c r="B6296" s="181">
        <v>17.218468675495153</v>
      </c>
    </row>
    <row r="6297" spans="2:2" ht="15">
      <c r="B6297" s="181">
        <v>20.990259090931783</v>
      </c>
    </row>
    <row r="6298" spans="2:2" ht="15">
      <c r="B6298" s="181">
        <v>29.784864918523308</v>
      </c>
    </row>
    <row r="6299" spans="2:2" ht="15">
      <c r="B6299" s="181">
        <v>24.305909109469873</v>
      </c>
    </row>
    <row r="6300" spans="2:2" ht="15">
      <c r="B6300" s="181">
        <v>6.9755008345090452</v>
      </c>
    </row>
    <row r="6301" spans="2:2" ht="15">
      <c r="B6301" s="181">
        <v>32.310213618464296</v>
      </c>
    </row>
    <row r="6302" spans="2:2" ht="15">
      <c r="B6302" s="181">
        <v>43.416982799168821</v>
      </c>
    </row>
    <row r="6303" spans="2:2" ht="15">
      <c r="B6303" s="181">
        <v>21.930270796663006</v>
      </c>
    </row>
    <row r="6304" spans="2:2" ht="15">
      <c r="B6304" s="181">
        <v>12.613826412795973</v>
      </c>
    </row>
    <row r="6305" spans="2:2" ht="15">
      <c r="B6305" s="181">
        <v>15.308174224162068</v>
      </c>
    </row>
    <row r="6306" spans="2:2" ht="15">
      <c r="B6306" s="181">
        <v>22.798565619490322</v>
      </c>
    </row>
    <row r="6307" spans="2:2" ht="15">
      <c r="B6307" s="181">
        <v>5.0637948242565587</v>
      </c>
    </row>
    <row r="6308" spans="2:2" ht="15">
      <c r="B6308" s="181">
        <v>15.84052925719727</v>
      </c>
    </row>
    <row r="6309" spans="2:2" ht="15">
      <c r="B6309" s="181">
        <v>5.8620102467941928</v>
      </c>
    </row>
    <row r="6310" spans="2:2" ht="15">
      <c r="B6310" s="181">
        <v>25.166782120270028</v>
      </c>
    </row>
    <row r="6311" spans="2:2" ht="15">
      <c r="B6311" s="181">
        <v>31.302517234718881</v>
      </c>
    </row>
    <row r="6312" spans="2:2" ht="15">
      <c r="B6312" s="181">
        <v>10.441873843101405</v>
      </c>
    </row>
    <row r="6313" spans="2:2" ht="15">
      <c r="B6313" s="181">
        <v>9.7348210175563601</v>
      </c>
    </row>
    <row r="6314" spans="2:2" ht="15">
      <c r="B6314" s="181">
        <v>24.676204902179563</v>
      </c>
    </row>
    <row r="6315" spans="2:2" ht="15">
      <c r="B6315" s="181">
        <v>25.001203886601548</v>
      </c>
    </row>
    <row r="6316" spans="2:2" ht="15">
      <c r="B6316" s="181">
        <v>11.968890665911029</v>
      </c>
    </row>
    <row r="6317" spans="2:2" ht="15">
      <c r="B6317" s="181">
        <v>50.148844190182416</v>
      </c>
    </row>
    <row r="6318" spans="2:2" ht="15">
      <c r="B6318" s="181">
        <v>52.952084674975247</v>
      </c>
    </row>
    <row r="6319" spans="2:2" ht="15">
      <c r="B6319" s="181">
        <v>21.319911848311069</v>
      </c>
    </row>
    <row r="6320" spans="2:2" ht="15">
      <c r="B6320" s="181">
        <v>28.125030623567415</v>
      </c>
    </row>
    <row r="6321" spans="2:2" ht="15">
      <c r="B6321" s="181">
        <v>19.308702766064819</v>
      </c>
    </row>
    <row r="6322" spans="2:2" ht="15">
      <c r="B6322" s="181">
        <v>19.708649318039331</v>
      </c>
    </row>
    <row r="6323" spans="2:2" ht="15">
      <c r="B6323" s="181">
        <v>43.282592919997491</v>
      </c>
    </row>
    <row r="6324" spans="2:2" ht="15">
      <c r="B6324" s="181">
        <v>20.772644862846896</v>
      </c>
    </row>
    <row r="6325" spans="2:2" ht="15">
      <c r="B6325" s="181">
        <v>35.702939107350858</v>
      </c>
    </row>
    <row r="6326" spans="2:2" ht="15">
      <c r="B6326" s="181">
        <v>34.976153743136827</v>
      </c>
    </row>
    <row r="6327" spans="2:2" ht="15">
      <c r="B6327" s="181">
        <v>23.342115789463779</v>
      </c>
    </row>
    <row r="6328" spans="2:2" ht="15">
      <c r="B6328" s="181">
        <v>38.270062027088535</v>
      </c>
    </row>
    <row r="6329" spans="2:2" ht="15">
      <c r="B6329" s="181">
        <v>39.042628558670373</v>
      </c>
    </row>
    <row r="6330" spans="2:2" ht="15">
      <c r="B6330" s="181">
        <v>14.530662922665698</v>
      </c>
    </row>
    <row r="6331" spans="2:2" ht="15">
      <c r="B6331" s="181">
        <v>14.113874698688976</v>
      </c>
    </row>
    <row r="6332" spans="2:2" ht="15">
      <c r="B6332" s="181">
        <v>11.327064200885079</v>
      </c>
    </row>
    <row r="6333" spans="2:2" ht="15">
      <c r="B6333" s="181">
        <v>10.19892461513407</v>
      </c>
    </row>
    <row r="6334" spans="2:2" ht="15">
      <c r="B6334" s="181">
        <v>12.526518747967085</v>
      </c>
    </row>
    <row r="6335" spans="2:2" ht="15">
      <c r="B6335" s="181">
        <v>8.8761641449863422</v>
      </c>
    </row>
    <row r="6336" spans="2:2" ht="15">
      <c r="B6336" s="181">
        <v>17.97261802357594</v>
      </c>
    </row>
    <row r="6337" spans="2:2" ht="15">
      <c r="B6337" s="181">
        <v>26.391956483948526</v>
      </c>
    </row>
    <row r="6338" spans="2:2" ht="15">
      <c r="B6338" s="181">
        <v>31.927238733862264</v>
      </c>
    </row>
    <row r="6339" spans="2:2" ht="15">
      <c r="B6339" s="181">
        <v>28.890530991843306</v>
      </c>
    </row>
    <row r="6340" spans="2:2" ht="15">
      <c r="B6340" s="181">
        <v>10.897121437163161</v>
      </c>
    </row>
    <row r="6341" spans="2:2" ht="15">
      <c r="B6341" s="181">
        <v>18.541163465546241</v>
      </c>
    </row>
    <row r="6342" spans="2:2" ht="15">
      <c r="B6342" s="181">
        <v>9.896253193497909</v>
      </c>
    </row>
    <row r="6343" spans="2:2" ht="15">
      <c r="B6343" s="181">
        <v>33.266896746259206</v>
      </c>
    </row>
    <row r="6344" spans="2:2" ht="15">
      <c r="B6344" s="181">
        <v>11.917272690191332</v>
      </c>
    </row>
    <row r="6345" spans="2:2" ht="15">
      <c r="B6345" s="181">
        <v>13.265863044439502</v>
      </c>
    </row>
    <row r="6346" spans="2:2" ht="15">
      <c r="B6346" s="181">
        <v>18.238494773801303</v>
      </c>
    </row>
    <row r="6347" spans="2:2" ht="15">
      <c r="B6347" s="181">
        <v>12.104399516982726</v>
      </c>
    </row>
    <row r="6348" spans="2:2" ht="15">
      <c r="B6348" s="181">
        <v>10.150027093583248</v>
      </c>
    </row>
    <row r="6349" spans="2:2" ht="15">
      <c r="B6349" s="181">
        <v>17.725239765498298</v>
      </c>
    </row>
    <row r="6350" spans="2:2" ht="15">
      <c r="B6350" s="181">
        <v>7.2262650048775088</v>
      </c>
    </row>
    <row r="6351" spans="2:2" ht="15">
      <c r="B6351" s="181">
        <v>32.966693924876701</v>
      </c>
    </row>
    <row r="6352" spans="2:2" ht="15">
      <c r="B6352" s="181">
        <v>18.958343112514001</v>
      </c>
    </row>
    <row r="6353" spans="2:2" ht="15">
      <c r="B6353" s="181">
        <v>7.8600757215281245</v>
      </c>
    </row>
    <row r="6354" spans="2:2" ht="15">
      <c r="B6354" s="181">
        <v>21.688980858927877</v>
      </c>
    </row>
    <row r="6355" spans="2:2" ht="15">
      <c r="B6355" s="181">
        <v>18.650406170378393</v>
      </c>
    </row>
    <row r="6356" spans="2:2" ht="15">
      <c r="B6356" s="181">
        <v>19.459016953195846</v>
      </c>
    </row>
    <row r="6357" spans="2:2" ht="15">
      <c r="B6357" s="181">
        <v>28.991603226634428</v>
      </c>
    </row>
    <row r="6358" spans="2:2" ht="15">
      <c r="B6358" s="181">
        <v>35.106385355531017</v>
      </c>
    </row>
    <row r="6359" spans="2:2" ht="15">
      <c r="B6359" s="181">
        <v>12.333768760447791</v>
      </c>
    </row>
    <row r="6360" spans="2:2" ht="15">
      <c r="B6360" s="181">
        <v>14.211317754991628</v>
      </c>
    </row>
    <row r="6361" spans="2:2" ht="15">
      <c r="B6361" s="181">
        <v>32.310785843356676</v>
      </c>
    </row>
    <row r="6362" spans="2:2" ht="15">
      <c r="B6362" s="181">
        <v>27.647432700200184</v>
      </c>
    </row>
    <row r="6363" spans="2:2" ht="15">
      <c r="B6363" s="181">
        <v>9.8889134801253515</v>
      </c>
    </row>
    <row r="6364" spans="2:2" ht="15">
      <c r="B6364" s="181">
        <v>17.700977610626989</v>
      </c>
    </row>
    <row r="6365" spans="2:2" ht="15">
      <c r="B6365" s="181">
        <v>12.319537051695537</v>
      </c>
    </row>
    <row r="6366" spans="2:2" ht="15">
      <c r="B6366" s="181">
        <v>24.903250582197209</v>
      </c>
    </row>
    <row r="6367" spans="2:2" ht="15">
      <c r="B6367" s="181">
        <v>25.476986332821259</v>
      </c>
    </row>
    <row r="6368" spans="2:2" ht="15">
      <c r="B6368" s="181">
        <v>15.173310438502909</v>
      </c>
    </row>
    <row r="6369" spans="2:2" ht="15">
      <c r="B6369" s="181">
        <v>25.332606621442384</v>
      </c>
    </row>
    <row r="6370" spans="2:2" ht="15">
      <c r="B6370" s="181">
        <v>7.9796547906148172</v>
      </c>
    </row>
    <row r="6371" spans="2:2" ht="15">
      <c r="B6371" s="181">
        <v>32.475666423095404</v>
      </c>
    </row>
    <row r="6372" spans="2:2" ht="15">
      <c r="B6372" s="181">
        <v>10.292391801507314</v>
      </c>
    </row>
    <row r="6373" spans="2:2" ht="15">
      <c r="B6373" s="181">
        <v>13.898883857791551</v>
      </c>
    </row>
    <row r="6374" spans="2:2" ht="15">
      <c r="B6374" s="181">
        <v>15.178910963767169</v>
      </c>
    </row>
    <row r="6375" spans="2:2" ht="15">
      <c r="B6375" s="181">
        <v>10.296516065604637</v>
      </c>
    </row>
    <row r="6376" spans="2:2" ht="15">
      <c r="B6376" s="181">
        <v>19.325908574374246</v>
      </c>
    </row>
    <row r="6377" spans="2:2" ht="15">
      <c r="B6377" s="181">
        <v>32.829211785164027</v>
      </c>
    </row>
    <row r="6378" spans="2:2" ht="15">
      <c r="B6378" s="181">
        <v>15.285047615229427</v>
      </c>
    </row>
    <row r="6379" spans="2:2" ht="15">
      <c r="B6379" s="181">
        <v>17.502771619070671</v>
      </c>
    </row>
    <row r="6380" spans="2:2" ht="15">
      <c r="B6380" s="181">
        <v>17.56686840045214</v>
      </c>
    </row>
    <row r="6381" spans="2:2" ht="15">
      <c r="B6381" s="181">
        <v>47.912309068421365</v>
      </c>
    </row>
    <row r="6382" spans="2:2" ht="15">
      <c r="B6382" s="181">
        <v>11.165949672392872</v>
      </c>
    </row>
    <row r="6383" spans="2:2" ht="15">
      <c r="B6383" s="181">
        <v>23.449192829651924</v>
      </c>
    </row>
    <row r="6384" spans="2:2" ht="15">
      <c r="B6384" s="181">
        <v>21.723872094472195</v>
      </c>
    </row>
    <row r="6385" spans="2:2" ht="15">
      <c r="B6385" s="181">
        <v>16.969860358774095</v>
      </c>
    </row>
    <row r="6386" spans="2:2" ht="15">
      <c r="B6386" s="181">
        <v>13.975032094948547</v>
      </c>
    </row>
    <row r="6387" spans="2:2" ht="15">
      <c r="B6387" s="181">
        <v>32.041575678902838</v>
      </c>
    </row>
    <row r="6388" spans="2:2" ht="15">
      <c r="B6388" s="181">
        <v>36.470559282657632</v>
      </c>
    </row>
    <row r="6389" spans="2:2" ht="15">
      <c r="B6389" s="181">
        <v>11.942616763749875</v>
      </c>
    </row>
    <row r="6390" spans="2:2" ht="15">
      <c r="B6390" s="181">
        <v>32.17738629815603</v>
      </c>
    </row>
    <row r="6391" spans="2:2" ht="15">
      <c r="B6391" s="181">
        <v>12.720475404442004</v>
      </c>
    </row>
    <row r="6392" spans="2:2" ht="15">
      <c r="B6392" s="181">
        <v>19.918090324652795</v>
      </c>
    </row>
    <row r="6393" spans="2:2" ht="15">
      <c r="B6393" s="181">
        <v>9.995950439252093</v>
      </c>
    </row>
    <row r="6394" spans="2:2" ht="15">
      <c r="B6394" s="181">
        <v>48.643414399863637</v>
      </c>
    </row>
    <row r="6395" spans="2:2" ht="15">
      <c r="B6395" s="181">
        <v>15.102700035449347</v>
      </c>
    </row>
    <row r="6396" spans="2:2" ht="15">
      <c r="B6396" s="181">
        <v>21.674690191530857</v>
      </c>
    </row>
    <row r="6397" spans="2:2" ht="15">
      <c r="B6397" s="181">
        <v>15.697300724852106</v>
      </c>
    </row>
    <row r="6398" spans="2:2" ht="15">
      <c r="B6398" s="181">
        <v>12.799736834854373</v>
      </c>
    </row>
    <row r="6399" spans="2:2" ht="15">
      <c r="B6399" s="181">
        <v>20.762470022695386</v>
      </c>
    </row>
    <row r="6400" spans="2:2" ht="15">
      <c r="B6400" s="181">
        <v>17.99930140921035</v>
      </c>
    </row>
    <row r="6401" spans="2:2" ht="15">
      <c r="B6401" s="181">
        <v>21.289665771896878</v>
      </c>
    </row>
    <row r="6402" spans="2:2" ht="15">
      <c r="B6402" s="181">
        <v>19.065999061296932</v>
      </c>
    </row>
    <row r="6403" spans="2:2" ht="15">
      <c r="B6403" s="181">
        <v>27.201424546165363</v>
      </c>
    </row>
    <row r="6404" spans="2:2" ht="15">
      <c r="B6404" s="181">
        <v>25.22044379316841</v>
      </c>
    </row>
    <row r="6405" spans="2:2" ht="15">
      <c r="B6405" s="181">
        <v>9.1330934240562236</v>
      </c>
    </row>
    <row r="6406" spans="2:2" ht="15">
      <c r="B6406" s="181">
        <v>13.725388482625123</v>
      </c>
    </row>
    <row r="6407" spans="2:2" ht="15">
      <c r="B6407" s="181">
        <v>29.006354352480951</v>
      </c>
    </row>
    <row r="6408" spans="2:2" ht="15">
      <c r="B6408" s="181">
        <v>13.196327663880732</v>
      </c>
    </row>
    <row r="6409" spans="2:2" ht="15">
      <c r="B6409" s="181">
        <v>12.638547523893317</v>
      </c>
    </row>
    <row r="6410" spans="2:2" ht="15">
      <c r="B6410" s="181">
        <v>18.413113021738003</v>
      </c>
    </row>
    <row r="6411" spans="2:2" ht="15">
      <c r="B6411" s="181">
        <v>9.7576962718681433</v>
      </c>
    </row>
    <row r="6412" spans="2:2" ht="15">
      <c r="B6412" s="181">
        <v>22.69613679265991</v>
      </c>
    </row>
    <row r="6413" spans="2:2" ht="15">
      <c r="B6413" s="181">
        <v>23.79146834952402</v>
      </c>
    </row>
    <row r="6414" spans="2:2" ht="15">
      <c r="B6414" s="181">
        <v>32.940314885138768</v>
      </c>
    </row>
    <row r="6415" spans="2:2" ht="15">
      <c r="B6415" s="181">
        <v>16.539912335867516</v>
      </c>
    </row>
    <row r="6416" spans="2:2" ht="15">
      <c r="B6416" s="181">
        <v>11.754285248215607</v>
      </c>
    </row>
    <row r="6417" spans="2:2" ht="15">
      <c r="B6417" s="181">
        <v>11.996999311743709</v>
      </c>
    </row>
    <row r="6418" spans="2:2" ht="15">
      <c r="B6418" s="181">
        <v>7.9235115349318406</v>
      </c>
    </row>
    <row r="6419" spans="2:2" ht="15">
      <c r="B6419" s="181">
        <v>48.816393730074701</v>
      </c>
    </row>
    <row r="6420" spans="2:2" ht="15">
      <c r="B6420" s="181">
        <v>7.0423851931804329</v>
      </c>
    </row>
    <row r="6421" spans="2:2" ht="15">
      <c r="B6421" s="181">
        <v>8.3772328117021289</v>
      </c>
    </row>
    <row r="6422" spans="2:2" ht="15">
      <c r="B6422" s="181">
        <v>20.580643604641423</v>
      </c>
    </row>
    <row r="6423" spans="2:2" ht="15">
      <c r="B6423" s="181">
        <v>10.333934429124902</v>
      </c>
    </row>
    <row r="6424" spans="2:2" ht="15">
      <c r="B6424" s="181">
        <v>20.267339802315099</v>
      </c>
    </row>
    <row r="6425" spans="2:2" ht="15">
      <c r="B6425" s="181">
        <v>25.903255660621646</v>
      </c>
    </row>
    <row r="6426" spans="2:2" ht="15">
      <c r="B6426" s="181">
        <v>13.534649421855104</v>
      </c>
    </row>
    <row r="6427" spans="2:2" ht="15">
      <c r="B6427" s="181">
        <v>24.827187730592609</v>
      </c>
    </row>
    <row r="6428" spans="2:2" ht="15">
      <c r="B6428" s="181">
        <v>7.9240735494314167</v>
      </c>
    </row>
    <row r="6429" spans="2:2" ht="15">
      <c r="B6429" s="181">
        <v>14.747760569143033</v>
      </c>
    </row>
    <row r="6430" spans="2:2" ht="15">
      <c r="B6430" s="181">
        <v>7.6128910913829442</v>
      </c>
    </row>
    <row r="6431" spans="2:2" ht="15">
      <c r="B6431" s="181">
        <v>17.569589508928484</v>
      </c>
    </row>
    <row r="6432" spans="2:2" ht="15">
      <c r="B6432" s="181">
        <v>10.702827355715714</v>
      </c>
    </row>
    <row r="6433" spans="2:2" ht="15">
      <c r="B6433" s="181">
        <v>18.3090164595049</v>
      </c>
    </row>
    <row r="6434" spans="2:2" ht="15">
      <c r="B6434" s="181">
        <v>25.063393700757448</v>
      </c>
    </row>
    <row r="6435" spans="2:2" ht="15">
      <c r="B6435" s="181">
        <v>24.541175319460468</v>
      </c>
    </row>
    <row r="6436" spans="2:2" ht="15">
      <c r="B6436" s="181">
        <v>51.836609512217976</v>
      </c>
    </row>
    <row r="6437" spans="2:2" ht="15">
      <c r="B6437" s="181">
        <v>18.912016153880192</v>
      </c>
    </row>
    <row r="6438" spans="2:2" ht="15">
      <c r="B6438" s="181">
        <v>29.306301187687069</v>
      </c>
    </row>
    <row r="6439" spans="2:2" ht="15">
      <c r="B6439" s="181">
        <v>22.335849346122572</v>
      </c>
    </row>
    <row r="6440" spans="2:2" ht="15">
      <c r="B6440" s="181">
        <v>31.524209543504416</v>
      </c>
    </row>
    <row r="6441" spans="2:2" ht="15">
      <c r="B6441" s="181">
        <v>12.637491963834686</v>
      </c>
    </row>
    <row r="6442" spans="2:2" ht="15">
      <c r="B6442" s="181">
        <v>23.422389137183192</v>
      </c>
    </row>
    <row r="6443" spans="2:2" ht="15">
      <c r="B6443" s="181">
        <v>12.953441420015066</v>
      </c>
    </row>
    <row r="6444" spans="2:2" ht="15">
      <c r="B6444" s="181">
        <v>18.446855437087219</v>
      </c>
    </row>
    <row r="6445" spans="2:2" ht="15">
      <c r="B6445" s="181">
        <v>14.467172395610969</v>
      </c>
    </row>
    <row r="6446" spans="2:2" ht="15">
      <c r="B6446" s="181">
        <v>14.139468425074675</v>
      </c>
    </row>
    <row r="6447" spans="2:2" ht="15">
      <c r="B6447" s="181">
        <v>8.3937271453374205</v>
      </c>
    </row>
    <row r="6448" spans="2:2" ht="15">
      <c r="B6448" s="181">
        <v>17.384783223012903</v>
      </c>
    </row>
    <row r="6449" spans="2:2" ht="15">
      <c r="B6449" s="181">
        <v>15.888876107506833</v>
      </c>
    </row>
    <row r="6450" spans="2:2" ht="15">
      <c r="B6450" s="181">
        <v>23.863841547688359</v>
      </c>
    </row>
    <row r="6451" spans="2:2" ht="15">
      <c r="B6451" s="181">
        <v>9.8910423822897187</v>
      </c>
    </row>
    <row r="6452" spans="2:2" ht="15">
      <c r="B6452" s="181">
        <v>23.935019702525246</v>
      </c>
    </row>
    <row r="6453" spans="2:2" ht="15">
      <c r="B6453" s="181">
        <v>29.132840441856402</v>
      </c>
    </row>
    <row r="6454" spans="2:2" ht="15">
      <c r="B6454" s="181">
        <v>11.666172793456363</v>
      </c>
    </row>
    <row r="6455" spans="2:2" ht="15">
      <c r="B6455" s="181">
        <v>12.650787968704597</v>
      </c>
    </row>
    <row r="6456" spans="2:2" ht="15">
      <c r="B6456" s="181">
        <v>11.373860036562144</v>
      </c>
    </row>
    <row r="6457" spans="2:2" ht="15">
      <c r="B6457" s="181">
        <v>27.11612034204116</v>
      </c>
    </row>
    <row r="6458" spans="2:2" ht="15">
      <c r="B6458" s="181">
        <v>8.2442326210577743</v>
      </c>
    </row>
    <row r="6459" spans="2:2" ht="15">
      <c r="B6459" s="181">
        <v>20.029001428346955</v>
      </c>
    </row>
    <row r="6460" spans="2:2" ht="15">
      <c r="B6460" s="181">
        <v>29.89179621346651</v>
      </c>
    </row>
    <row r="6461" spans="2:2" ht="15">
      <c r="B6461" s="181">
        <v>8.3531206836312677</v>
      </c>
    </row>
    <row r="6462" spans="2:2" ht="15">
      <c r="B6462" s="181">
        <v>16.10878951467576</v>
      </c>
    </row>
    <row r="6463" spans="2:2" ht="15">
      <c r="B6463" s="181">
        <v>18.888935844820047</v>
      </c>
    </row>
    <row r="6464" spans="2:2" ht="15">
      <c r="B6464" s="181">
        <v>22.732850919046758</v>
      </c>
    </row>
    <row r="6465" spans="2:2" ht="15">
      <c r="B6465" s="181">
        <v>32.086913469868065</v>
      </c>
    </row>
    <row r="6466" spans="2:2" ht="15">
      <c r="B6466" s="181">
        <v>26.381796706008355</v>
      </c>
    </row>
    <row r="6467" spans="2:2" ht="15">
      <c r="B6467" s="181">
        <v>16.018964018082158</v>
      </c>
    </row>
    <row r="6468" spans="2:2" ht="15">
      <c r="B6468" s="181">
        <v>13.456617855316038</v>
      </c>
    </row>
    <row r="6469" spans="2:2" ht="15">
      <c r="B6469" s="181">
        <v>13.899541410949215</v>
      </c>
    </row>
    <row r="6470" spans="2:2" ht="15">
      <c r="B6470" s="181">
        <v>7.6978061216830111</v>
      </c>
    </row>
    <row r="6471" spans="2:2" ht="15">
      <c r="B6471" s="181">
        <v>10.349561166948879</v>
      </c>
    </row>
    <row r="6472" spans="2:2" ht="15">
      <c r="B6472" s="181">
        <v>8.3360064882141298</v>
      </c>
    </row>
    <row r="6473" spans="2:2" ht="15">
      <c r="B6473" s="181">
        <v>26.762960919979072</v>
      </c>
    </row>
    <row r="6474" spans="2:2" ht="15">
      <c r="B6474" s="181">
        <v>12.132396819340416</v>
      </c>
    </row>
    <row r="6475" spans="2:2" ht="15">
      <c r="B6475" s="181">
        <v>10.037691393339855</v>
      </c>
    </row>
    <row r="6476" spans="2:2" ht="15">
      <c r="B6476" s="181">
        <v>20.749255598725902</v>
      </c>
    </row>
    <row r="6477" spans="2:2" ht="15">
      <c r="B6477" s="181">
        <v>36.920782670678747</v>
      </c>
    </row>
    <row r="6478" spans="2:2" ht="15">
      <c r="B6478" s="181">
        <v>4.7232418827472404</v>
      </c>
    </row>
    <row r="6479" spans="2:2" ht="15">
      <c r="B6479" s="181">
        <v>13.879508039853722</v>
      </c>
    </row>
    <row r="6480" spans="2:2" ht="15">
      <c r="B6480" s="181">
        <v>35.270883431933974</v>
      </c>
    </row>
    <row r="6481" spans="2:2" ht="15">
      <c r="B6481" s="181">
        <v>7.9180884941387539</v>
      </c>
    </row>
    <row r="6482" spans="2:2" ht="15">
      <c r="B6482" s="181">
        <v>11.419573497733536</v>
      </c>
    </row>
    <row r="6483" spans="2:2" ht="15">
      <c r="B6483" s="181">
        <v>19.070736179408279</v>
      </c>
    </row>
    <row r="6484" spans="2:2" ht="15">
      <c r="B6484" s="181">
        <v>14.26268060501601</v>
      </c>
    </row>
    <row r="6485" spans="2:2" ht="15">
      <c r="B6485" s="181">
        <v>16.818586711426075</v>
      </c>
    </row>
    <row r="6486" spans="2:2" ht="15">
      <c r="B6486" s="181">
        <v>11.181329171208152</v>
      </c>
    </row>
    <row r="6487" spans="2:2" ht="15">
      <c r="B6487" s="181">
        <v>44.492301594796828</v>
      </c>
    </row>
    <row r="6488" spans="2:2" ht="15">
      <c r="B6488" s="181">
        <v>12.328495618476929</v>
      </c>
    </row>
    <row r="6489" spans="2:2" ht="15">
      <c r="B6489" s="181">
        <v>18.76098000447416</v>
      </c>
    </row>
    <row r="6490" spans="2:2" ht="15">
      <c r="B6490" s="181">
        <v>15.060063075253685</v>
      </c>
    </row>
    <row r="6491" spans="2:2" ht="15">
      <c r="B6491" s="181">
        <v>22.230869968467271</v>
      </c>
    </row>
    <row r="6492" spans="2:2" ht="15">
      <c r="B6492" s="181">
        <v>30.139348902122713</v>
      </c>
    </row>
    <row r="6493" spans="2:2" ht="15">
      <c r="B6493" s="181">
        <v>15.303210548219196</v>
      </c>
    </row>
    <row r="6494" spans="2:2" ht="15">
      <c r="B6494" s="181">
        <v>26.054934207569129</v>
      </c>
    </row>
    <row r="6495" spans="2:2" ht="15">
      <c r="B6495" s="181">
        <v>24.841002052531326</v>
      </c>
    </row>
    <row r="6496" spans="2:2" ht="15">
      <c r="B6496" s="181">
        <v>23.646619197260232</v>
      </c>
    </row>
    <row r="6497" spans="2:2" ht="15">
      <c r="B6497" s="181">
        <v>7.757014019346979</v>
      </c>
    </row>
    <row r="6498" spans="2:2" ht="15">
      <c r="B6498" s="181">
        <v>26.360779713916973</v>
      </c>
    </row>
    <row r="6499" spans="2:2" ht="15">
      <c r="B6499" s="181">
        <v>11.452153703133582</v>
      </c>
    </row>
    <row r="6500" spans="2:2" ht="15">
      <c r="B6500" s="181">
        <v>31.1015975953107</v>
      </c>
    </row>
    <row r="6501" spans="2:2" ht="15">
      <c r="B6501" s="181">
        <v>53.087532600467355</v>
      </c>
    </row>
    <row r="6502" spans="2:2" ht="15">
      <c r="B6502" s="181">
        <v>13.505868435876469</v>
      </c>
    </row>
    <row r="6503" spans="2:2" ht="15">
      <c r="B6503" s="181">
        <v>21.584071508917518</v>
      </c>
    </row>
    <row r="6504" spans="2:2" ht="15">
      <c r="B6504" s="181">
        <v>15.1824744459778</v>
      </c>
    </row>
    <row r="6505" spans="2:2" ht="15">
      <c r="B6505" s="181">
        <v>15.035423311242669</v>
      </c>
    </row>
    <row r="6506" spans="2:2" ht="15">
      <c r="B6506" s="181">
        <v>29.185836175910666</v>
      </c>
    </row>
    <row r="6507" spans="2:2" ht="15">
      <c r="B6507" s="181">
        <v>16.960038113176459</v>
      </c>
    </row>
    <row r="6508" spans="2:2" ht="15">
      <c r="B6508" s="181">
        <v>37.612850246412883</v>
      </c>
    </row>
    <row r="6509" spans="2:2" ht="15">
      <c r="B6509" s="181">
        <v>45.870088777094928</v>
      </c>
    </row>
    <row r="6510" spans="2:2" ht="15">
      <c r="B6510" s="181">
        <v>19.927998601118482</v>
      </c>
    </row>
    <row r="6511" spans="2:2" ht="15">
      <c r="B6511" s="181">
        <v>25.444663716565923</v>
      </c>
    </row>
    <row r="6512" spans="2:2" ht="15">
      <c r="B6512" s="181">
        <v>6.5233985129791412</v>
      </c>
    </row>
    <row r="6513" spans="2:2" ht="15">
      <c r="B6513" s="181">
        <v>19.098076627050808</v>
      </c>
    </row>
    <row r="6514" spans="2:2" ht="15">
      <c r="B6514" s="181">
        <v>13.199529330382273</v>
      </c>
    </row>
    <row r="6515" spans="2:2" ht="15">
      <c r="B6515" s="181">
        <v>27.907205882487713</v>
      </c>
    </row>
    <row r="6516" spans="2:2" ht="15">
      <c r="B6516" s="181">
        <v>19.019819418225293</v>
      </c>
    </row>
    <row r="6517" spans="2:2" ht="15">
      <c r="B6517" s="181">
        <v>17.321709193080526</v>
      </c>
    </row>
    <row r="6518" spans="2:2" ht="15">
      <c r="B6518" s="181">
        <v>8.4221822583012074</v>
      </c>
    </row>
    <row r="6519" spans="2:2" ht="15">
      <c r="B6519" s="181">
        <v>16.687590977620822</v>
      </c>
    </row>
    <row r="6520" spans="2:2" ht="15">
      <c r="B6520" s="181">
        <v>25.226853009132427</v>
      </c>
    </row>
    <row r="6521" spans="2:2" ht="15">
      <c r="B6521" s="181">
        <v>33.458616186835094</v>
      </c>
    </row>
    <row r="6522" spans="2:2" ht="15">
      <c r="B6522" s="181">
        <v>10.330709250629969</v>
      </c>
    </row>
    <row r="6523" spans="2:2" ht="15">
      <c r="B6523" s="181">
        <v>37.022914732530204</v>
      </c>
    </row>
    <row r="6524" spans="2:2" ht="15">
      <c r="B6524" s="181">
        <v>4.4027112734940248</v>
      </c>
    </row>
    <row r="6525" spans="2:2" ht="15">
      <c r="B6525" s="181">
        <v>23.175302991059841</v>
      </c>
    </row>
    <row r="6526" spans="2:2" ht="15">
      <c r="B6526" s="181">
        <v>51.121778410314256</v>
      </c>
    </row>
    <row r="6527" spans="2:2" ht="15">
      <c r="B6527" s="181">
        <v>12.595674170217313</v>
      </c>
    </row>
    <row r="6528" spans="2:2" ht="15">
      <c r="B6528" s="181">
        <v>44.670559143855385</v>
      </c>
    </row>
    <row r="6529" spans="2:2" ht="15">
      <c r="B6529" s="181">
        <v>24.864550696749951</v>
      </c>
    </row>
    <row r="6530" spans="2:2" ht="15">
      <c r="B6530" s="181">
        <v>14.161461116632521</v>
      </c>
    </row>
    <row r="6531" spans="2:2" ht="15">
      <c r="B6531" s="181">
        <v>16.427055162167004</v>
      </c>
    </row>
    <row r="6532" spans="2:2" ht="15">
      <c r="B6532" s="181">
        <v>11.020133594283548</v>
      </c>
    </row>
    <row r="6533" spans="2:2" ht="15">
      <c r="B6533" s="181">
        <v>11.07429121391668</v>
      </c>
    </row>
    <row r="6534" spans="2:2" ht="15">
      <c r="B6534" s="181">
        <v>33.312861000272655</v>
      </c>
    </row>
    <row r="6535" spans="2:2" ht="15">
      <c r="B6535" s="181">
        <v>23.940613411057008</v>
      </c>
    </row>
    <row r="6536" spans="2:2" ht="15">
      <c r="B6536" s="181">
        <v>8.2338714066673191</v>
      </c>
    </row>
    <row r="6537" spans="2:2" ht="15">
      <c r="B6537" s="181">
        <v>12.586208530263429</v>
      </c>
    </row>
    <row r="6538" spans="2:2" ht="15">
      <c r="B6538" s="181">
        <v>17.15720720191867</v>
      </c>
    </row>
    <row r="6539" spans="2:2" ht="15">
      <c r="B6539" s="181">
        <v>21.761453476719762</v>
      </c>
    </row>
    <row r="6540" spans="2:2" ht="15">
      <c r="B6540" s="181">
        <v>19.495464739750332</v>
      </c>
    </row>
    <row r="6541" spans="2:2" ht="15">
      <c r="B6541" s="181">
        <v>18.807467532646438</v>
      </c>
    </row>
    <row r="6542" spans="2:2" ht="15">
      <c r="B6542" s="181">
        <v>12.787492115604598</v>
      </c>
    </row>
    <row r="6543" spans="2:2" ht="15">
      <c r="B6543" s="181">
        <v>10.241598737026617</v>
      </c>
    </row>
    <row r="6544" spans="2:2" ht="15">
      <c r="B6544" s="181">
        <v>24.208158186862793</v>
      </c>
    </row>
    <row r="6545" spans="2:2" ht="15">
      <c r="B6545" s="181">
        <v>49.712461574947845</v>
      </c>
    </row>
    <row r="6546" spans="2:2" ht="15">
      <c r="B6546" s="181">
        <v>14.110449446460594</v>
      </c>
    </row>
    <row r="6547" spans="2:2" ht="15">
      <c r="B6547" s="181">
        <v>15.776448575485572</v>
      </c>
    </row>
    <row r="6548" spans="2:2" ht="15">
      <c r="B6548" s="181">
        <v>25.422652433712347</v>
      </c>
    </row>
    <row r="6549" spans="2:2" ht="15">
      <c r="B6549" s="181">
        <v>9.8499714830084244</v>
      </c>
    </row>
    <row r="6550" spans="2:2" ht="15">
      <c r="B6550" s="181">
        <v>39.396223041679079</v>
      </c>
    </row>
    <row r="6551" spans="2:2" ht="15">
      <c r="B6551" s="181">
        <v>10.010308495285676</v>
      </c>
    </row>
    <row r="6552" spans="2:2" ht="15">
      <c r="B6552" s="181">
        <v>49.715843736606175</v>
      </c>
    </row>
    <row r="6553" spans="2:2" ht="15">
      <c r="B6553" s="181">
        <v>28.199190412727745</v>
      </c>
    </row>
    <row r="6554" spans="2:2" ht="15">
      <c r="B6554" s="181">
        <v>17.615751700959237</v>
      </c>
    </row>
    <row r="6555" spans="2:2" ht="15">
      <c r="B6555" s="181">
        <v>8.3452221500020425</v>
      </c>
    </row>
    <row r="6556" spans="2:2" ht="15">
      <c r="B6556" s="181">
        <v>13.954990578874227</v>
      </c>
    </row>
    <row r="6557" spans="2:2" ht="15">
      <c r="B6557" s="181">
        <v>13.6835638972815</v>
      </c>
    </row>
    <row r="6558" spans="2:2" ht="15">
      <c r="B6558" s="181">
        <v>19.856266737016345</v>
      </c>
    </row>
    <row r="6559" spans="2:2" ht="15">
      <c r="B6559" s="181">
        <v>28.934051843301258</v>
      </c>
    </row>
    <row r="6560" spans="2:2" ht="15">
      <c r="B6560" s="181">
        <v>20.635172029159445</v>
      </c>
    </row>
    <row r="6561" spans="2:2" ht="15">
      <c r="B6561" s="181">
        <v>8.7742540903686734</v>
      </c>
    </row>
    <row r="6562" spans="2:2" ht="15">
      <c r="B6562" s="181">
        <v>22.980611112141546</v>
      </c>
    </row>
    <row r="6563" spans="2:2" ht="15">
      <c r="B6563" s="181">
        <v>17.360276365360836</v>
      </c>
    </row>
    <row r="6564" spans="2:2" ht="15">
      <c r="B6564" s="181">
        <v>43.188685368438264</v>
      </c>
    </row>
    <row r="6565" spans="2:2" ht="15">
      <c r="B6565" s="181">
        <v>17.176235287722452</v>
      </c>
    </row>
    <row r="6566" spans="2:2" ht="15">
      <c r="B6566" s="181">
        <v>27.987202590361772</v>
      </c>
    </row>
    <row r="6567" spans="2:2" ht="15">
      <c r="B6567" s="181">
        <v>13.731025693622072</v>
      </c>
    </row>
    <row r="6568" spans="2:2" ht="15">
      <c r="B6568" s="181">
        <v>43.873454919811877</v>
      </c>
    </row>
    <row r="6569" spans="2:2" ht="15">
      <c r="B6569" s="181">
        <v>10.823153996624249</v>
      </c>
    </row>
    <row r="6570" spans="2:2" ht="15">
      <c r="B6570" s="181">
        <v>14.516997189709905</v>
      </c>
    </row>
    <row r="6571" spans="2:2" ht="15">
      <c r="B6571" s="181">
        <v>4.7455804463963416</v>
      </c>
    </row>
    <row r="6572" spans="2:2" ht="15">
      <c r="B6572" s="181">
        <v>24.679129825890225</v>
      </c>
    </row>
    <row r="6573" spans="2:2" ht="15">
      <c r="B6573" s="181">
        <v>16.333001625609018</v>
      </c>
    </row>
    <row r="6574" spans="2:2" ht="15">
      <c r="B6574" s="181">
        <v>15.213277036240203</v>
      </c>
    </row>
    <row r="6575" spans="2:2" ht="15">
      <c r="B6575" s="181">
        <v>6.9485543360151034</v>
      </c>
    </row>
    <row r="6576" spans="2:2" ht="15">
      <c r="B6576" s="181">
        <v>5.5944226794412018</v>
      </c>
    </row>
    <row r="6577" spans="2:2" ht="15">
      <c r="B6577" s="181">
        <v>12.725652931392247</v>
      </c>
    </row>
    <row r="6578" spans="2:2" ht="15">
      <c r="B6578" s="181">
        <v>22.089640816165677</v>
      </c>
    </row>
    <row r="6579" spans="2:2" ht="15">
      <c r="B6579" s="181">
        <v>8.6104086995352098</v>
      </c>
    </row>
    <row r="6580" spans="2:2" ht="15">
      <c r="B6580" s="181">
        <v>16.938323496008632</v>
      </c>
    </row>
    <row r="6581" spans="2:2" ht="15">
      <c r="B6581" s="181">
        <v>25.874587624961745</v>
      </c>
    </row>
    <row r="6582" spans="2:2" ht="15">
      <c r="B6582" s="181">
        <v>9.910532543824127</v>
      </c>
    </row>
    <row r="6583" spans="2:2" ht="15">
      <c r="B6583" s="181">
        <v>21.290472543003087</v>
      </c>
    </row>
    <row r="6584" spans="2:2" ht="15">
      <c r="B6584" s="181">
        <v>12.768699986893457</v>
      </c>
    </row>
    <row r="6585" spans="2:2" ht="15">
      <c r="B6585" s="181">
        <v>11.960438065669914</v>
      </c>
    </row>
    <row r="6586" spans="2:2" ht="15">
      <c r="B6586" s="181">
        <v>18.484936456653553</v>
      </c>
    </row>
    <row r="6587" spans="2:2" ht="15">
      <c r="B6587" s="181">
        <v>17.003396602306523</v>
      </c>
    </row>
    <row r="6588" spans="2:2" ht="15">
      <c r="B6588" s="181">
        <v>17.250706284382211</v>
      </c>
    </row>
    <row r="6589" spans="2:2" ht="15">
      <c r="B6589" s="181">
        <v>11.938961958993318</v>
      </c>
    </row>
    <row r="6590" spans="2:2" ht="15">
      <c r="B6590" s="181">
        <v>6.1939211312114466</v>
      </c>
    </row>
    <row r="6591" spans="2:2" ht="15">
      <c r="B6591" s="181">
        <v>14.078409426997629</v>
      </c>
    </row>
    <row r="6592" spans="2:2" ht="15">
      <c r="B6592" s="181">
        <v>14.059771918272228</v>
      </c>
    </row>
    <row r="6593" spans="2:2" ht="15">
      <c r="B6593" s="181">
        <v>17.116019302744277</v>
      </c>
    </row>
    <row r="6594" spans="2:2" ht="15">
      <c r="B6594" s="181">
        <v>24.253974584806542</v>
      </c>
    </row>
    <row r="6595" spans="2:2" ht="15">
      <c r="B6595" s="181">
        <v>9.5543964815163402</v>
      </c>
    </row>
    <row r="6596" spans="2:2" ht="15">
      <c r="B6596" s="181">
        <v>23.877613029507717</v>
      </c>
    </row>
    <row r="6597" spans="2:2" ht="15">
      <c r="B6597" s="181">
        <v>25.636896708539027</v>
      </c>
    </row>
    <row r="6598" spans="2:2" ht="15">
      <c r="B6598" s="181">
        <v>19.756288637059715</v>
      </c>
    </row>
    <row r="6599" spans="2:2" ht="15">
      <c r="B6599" s="181">
        <v>47.614683301351057</v>
      </c>
    </row>
    <row r="6600" spans="2:2" ht="15">
      <c r="B6600" s="181">
        <v>7.9837153640438361</v>
      </c>
    </row>
    <row r="6601" spans="2:2" ht="15">
      <c r="B6601" s="181">
        <v>13.60833197624364</v>
      </c>
    </row>
    <row r="6602" spans="2:2" ht="15">
      <c r="B6602" s="181">
        <v>11.482181419079613</v>
      </c>
    </row>
    <row r="6603" spans="2:2" ht="15">
      <c r="B6603" s="181">
        <v>16.028028046912418</v>
      </c>
    </row>
    <row r="6604" spans="2:2" ht="15">
      <c r="B6604" s="181">
        <v>34.157521691082842</v>
      </c>
    </row>
    <row r="6605" spans="2:2" ht="15">
      <c r="B6605" s="181">
        <v>54.797487592912539</v>
      </c>
    </row>
    <row r="6606" spans="2:2" ht="15">
      <c r="B6606" s="181">
        <v>14.584910601792037</v>
      </c>
    </row>
    <row r="6607" spans="2:2" ht="15">
      <c r="B6607" s="181">
        <v>30.205377684085278</v>
      </c>
    </row>
    <row r="6608" spans="2:2" ht="15">
      <c r="B6608" s="181">
        <v>9.4316371803801253</v>
      </c>
    </row>
    <row r="6609" spans="2:2" ht="15">
      <c r="B6609" s="181">
        <v>20.00394123197874</v>
      </c>
    </row>
    <row r="6610" spans="2:2" ht="15">
      <c r="B6610" s="181">
        <v>13.857423045154066</v>
      </c>
    </row>
    <row r="6611" spans="2:2" ht="15">
      <c r="B6611" s="181">
        <v>13.456502412783088</v>
      </c>
    </row>
    <row r="6612" spans="2:2" ht="15">
      <c r="B6612" s="181">
        <v>17.214663285784713</v>
      </c>
    </row>
    <row r="6613" spans="2:2" ht="15">
      <c r="B6613" s="181">
        <v>26.802929340561391</v>
      </c>
    </row>
    <row r="6614" spans="2:2" ht="15">
      <c r="B6614" s="181">
        <v>31.152571123191137</v>
      </c>
    </row>
    <row r="6615" spans="2:2" ht="15">
      <c r="B6615" s="181">
        <v>12.914007544169543</v>
      </c>
    </row>
    <row r="6616" spans="2:2" ht="15">
      <c r="B6616" s="181">
        <v>13.372079656166843</v>
      </c>
    </row>
    <row r="6617" spans="2:2" ht="15">
      <c r="B6617" s="181">
        <v>26.710641279828398</v>
      </c>
    </row>
    <row r="6618" spans="2:2" ht="15">
      <c r="B6618" s="181">
        <v>16.007073871083588</v>
      </c>
    </row>
    <row r="6619" spans="2:2" ht="15">
      <c r="B6619" s="181">
        <v>13.115521809055817</v>
      </c>
    </row>
    <row r="6620" spans="2:2" ht="15">
      <c r="B6620" s="181">
        <v>10.771413076565313</v>
      </c>
    </row>
    <row r="6621" spans="2:2" ht="15">
      <c r="B6621" s="181">
        <v>17.045627650296421</v>
      </c>
    </row>
    <row r="6622" spans="2:2" ht="15">
      <c r="B6622" s="181">
        <v>11.028087816079536</v>
      </c>
    </row>
    <row r="6623" spans="2:2" ht="15">
      <c r="B6623" s="181">
        <v>26.407582767152256</v>
      </c>
    </row>
    <row r="6624" spans="2:2" ht="15">
      <c r="B6624" s="181">
        <v>2.6200636137614968</v>
      </c>
    </row>
    <row r="6625" spans="2:2" ht="15">
      <c r="B6625" s="181">
        <v>6.4276891429058667</v>
      </c>
    </row>
    <row r="6626" spans="2:2" ht="15">
      <c r="B6626" s="181">
        <v>28.893852997840195</v>
      </c>
    </row>
    <row r="6627" spans="2:2" ht="15">
      <c r="B6627" s="181">
        <v>8.428327202404061</v>
      </c>
    </row>
    <row r="6628" spans="2:2" ht="15">
      <c r="B6628" s="181">
        <v>11.004070057609523</v>
      </c>
    </row>
    <row r="6629" spans="2:2" ht="15">
      <c r="B6629" s="181">
        <v>36.742575013143835</v>
      </c>
    </row>
    <row r="6630" spans="2:2" ht="15">
      <c r="B6630" s="181">
        <v>9.9042529714283631</v>
      </c>
    </row>
    <row r="6631" spans="2:2" ht="15">
      <c r="B6631" s="181">
        <v>22.111451965267214</v>
      </c>
    </row>
    <row r="6632" spans="2:2" ht="15">
      <c r="B6632" s="181">
        <v>26.316878804804887</v>
      </c>
    </row>
    <row r="6633" spans="2:2" ht="15">
      <c r="B6633" s="181">
        <v>71.060936602783485</v>
      </c>
    </row>
    <row r="6634" spans="2:2" ht="15">
      <c r="B6634" s="181">
        <v>25.973009453676656</v>
      </c>
    </row>
    <row r="6635" spans="2:2" ht="15">
      <c r="B6635" s="181">
        <v>18.132321566338831</v>
      </c>
    </row>
    <row r="6636" spans="2:2" ht="15">
      <c r="B6636" s="181">
        <v>42.232901675665481</v>
      </c>
    </row>
    <row r="6637" spans="2:2" ht="15">
      <c r="B6637" s="181">
        <v>17.285535360336642</v>
      </c>
    </row>
    <row r="6638" spans="2:2" ht="15">
      <c r="B6638" s="181">
        <v>11.954404847078505</v>
      </c>
    </row>
    <row r="6639" spans="2:2" ht="15">
      <c r="B6639" s="181">
        <v>13.576734283205631</v>
      </c>
    </row>
    <row r="6640" spans="2:2" ht="15">
      <c r="B6640" s="181">
        <v>42.278111940805431</v>
      </c>
    </row>
    <row r="6641" spans="2:2" ht="15">
      <c r="B6641" s="181">
        <v>59.839770355970948</v>
      </c>
    </row>
    <row r="6642" spans="2:2" ht="15">
      <c r="B6642" s="181">
        <v>36.653610633835648</v>
      </c>
    </row>
    <row r="6643" spans="2:2" ht="15">
      <c r="B6643" s="181">
        <v>18.332590647240171</v>
      </c>
    </row>
    <row r="6644" spans="2:2" ht="15">
      <c r="B6644" s="181">
        <v>29.247181219847587</v>
      </c>
    </row>
    <row r="6645" spans="2:2" ht="15">
      <c r="B6645" s="181">
        <v>19.379736370909374</v>
      </c>
    </row>
    <row r="6646" spans="2:2" ht="15">
      <c r="B6646" s="181">
        <v>9.5535972424293156</v>
      </c>
    </row>
    <row r="6647" spans="2:2" ht="15">
      <c r="B6647" s="181">
        <v>23.821889753576105</v>
      </c>
    </row>
    <row r="6648" spans="2:2" ht="15">
      <c r="B6648" s="181">
        <v>7.5244644767407038</v>
      </c>
    </row>
    <row r="6649" spans="2:2" ht="15">
      <c r="B6649" s="181">
        <v>20.020796426195087</v>
      </c>
    </row>
    <row r="6650" spans="2:2" ht="15">
      <c r="B6650" s="181">
        <v>7.4156859564675193</v>
      </c>
    </row>
    <row r="6651" spans="2:2" ht="15">
      <c r="B6651" s="181">
        <v>30.806974365323178</v>
      </c>
    </row>
    <row r="6652" spans="2:2" ht="15">
      <c r="B6652" s="181">
        <v>15.652748315578746</v>
      </c>
    </row>
    <row r="6653" spans="2:2" ht="15">
      <c r="B6653" s="181">
        <v>8.6966359967728568</v>
      </c>
    </row>
    <row r="6654" spans="2:2" ht="15">
      <c r="B6654" s="181">
        <v>17.396818885619624</v>
      </c>
    </row>
    <row r="6655" spans="2:2" ht="15">
      <c r="B6655" s="181">
        <v>28.952002809654008</v>
      </c>
    </row>
    <row r="6656" spans="2:2" ht="15">
      <c r="B6656" s="181">
        <v>12.785096888789873</v>
      </c>
    </row>
    <row r="6657" spans="2:2" ht="15">
      <c r="B6657" s="181">
        <v>17.739667377520572</v>
      </c>
    </row>
    <row r="6658" spans="2:2" ht="15">
      <c r="B6658" s="181">
        <v>20.323270418461039</v>
      </c>
    </row>
    <row r="6659" spans="2:2" ht="15">
      <c r="B6659" s="181">
        <v>31.989884705528866</v>
      </c>
    </row>
    <row r="6660" spans="2:2" ht="15">
      <c r="B6660" s="181">
        <v>13.206182042738362</v>
      </c>
    </row>
    <row r="6661" spans="2:2" ht="15">
      <c r="B6661" s="181">
        <v>14.943291697308741</v>
      </c>
    </row>
    <row r="6662" spans="2:2" ht="15">
      <c r="B6662" s="181">
        <v>19.032668983013423</v>
      </c>
    </row>
    <row r="6663" spans="2:2" ht="15">
      <c r="B6663" s="181">
        <v>16.780146033947641</v>
      </c>
    </row>
    <row r="6664" spans="2:2" ht="15">
      <c r="B6664" s="181">
        <v>16.989245908632093</v>
      </c>
    </row>
    <row r="6665" spans="2:2" ht="15">
      <c r="B6665" s="181">
        <v>6.3513209244887117</v>
      </c>
    </row>
    <row r="6666" spans="2:2" ht="15">
      <c r="B6666" s="181">
        <v>11.280331304173803</v>
      </c>
    </row>
    <row r="6667" spans="2:2" ht="15">
      <c r="B6667" s="181">
        <v>32.309610234450197</v>
      </c>
    </row>
    <row r="6668" spans="2:2" ht="15">
      <c r="B6668" s="181">
        <v>15.094108557357014</v>
      </c>
    </row>
    <row r="6669" spans="2:2" ht="15">
      <c r="B6669" s="181">
        <v>8.1140436779823499</v>
      </c>
    </row>
    <row r="6670" spans="2:2" ht="15">
      <c r="B6670" s="181">
        <v>12.686184321098702</v>
      </c>
    </row>
    <row r="6671" spans="2:2" ht="15">
      <c r="B6671" s="181">
        <v>24.159748962816689</v>
      </c>
    </row>
    <row r="6672" spans="2:2" ht="15">
      <c r="B6672" s="181">
        <v>15.290156617273807</v>
      </c>
    </row>
    <row r="6673" spans="2:2" ht="15">
      <c r="B6673" s="181">
        <v>23.779332473766207</v>
      </c>
    </row>
    <row r="6674" spans="2:2" ht="15">
      <c r="B6674" s="181">
        <v>20.730578378360946</v>
      </c>
    </row>
    <row r="6675" spans="2:2" ht="15">
      <c r="B6675" s="181">
        <v>16.122519813027921</v>
      </c>
    </row>
    <row r="6676" spans="2:2" ht="15">
      <c r="B6676" s="181">
        <v>30.05733629991488</v>
      </c>
    </row>
    <row r="6677" spans="2:2" ht="15">
      <c r="B6677" s="181">
        <v>57.500841452793836</v>
      </c>
    </row>
    <row r="6678" spans="2:2" ht="15">
      <c r="B6678" s="181">
        <v>19.654905495433937</v>
      </c>
    </row>
    <row r="6679" spans="2:2" ht="15">
      <c r="B6679" s="181">
        <v>10.828069393504546</v>
      </c>
    </row>
    <row r="6680" spans="2:2" ht="15">
      <c r="B6680" s="181">
        <v>28.684696287019147</v>
      </c>
    </row>
    <row r="6681" spans="2:2" ht="15">
      <c r="B6681" s="181">
        <v>34.635910120394264</v>
      </c>
    </row>
    <row r="6682" spans="2:2" ht="15">
      <c r="B6682" s="181">
        <v>25.292871678728666</v>
      </c>
    </row>
    <row r="6683" spans="2:2" ht="15">
      <c r="B6683" s="181">
        <v>29.32419173571764</v>
      </c>
    </row>
    <row r="6684" spans="2:2" ht="15">
      <c r="B6684" s="181">
        <v>13.408968832742664</v>
      </c>
    </row>
    <row r="6685" spans="2:2" ht="15">
      <c r="B6685" s="181">
        <v>21.663333490436465</v>
      </c>
    </row>
    <row r="6686" spans="2:2" ht="15">
      <c r="B6686" s="181">
        <v>22.417377304648859</v>
      </c>
    </row>
    <row r="6687" spans="2:2" ht="15">
      <c r="B6687" s="181">
        <v>12.697724117481938</v>
      </c>
    </row>
    <row r="6688" spans="2:2" ht="15">
      <c r="B6688" s="181">
        <v>6.2432015509175587</v>
      </c>
    </row>
    <row r="6689" spans="2:2" ht="15">
      <c r="B6689" s="181">
        <v>14.464623283025336</v>
      </c>
    </row>
    <row r="6690" spans="2:2" ht="15">
      <c r="B6690" s="181">
        <v>18.391205779989193</v>
      </c>
    </row>
    <row r="6691" spans="2:2" ht="15">
      <c r="B6691" s="181">
        <v>11.509122277304305</v>
      </c>
    </row>
    <row r="6692" spans="2:2" ht="15">
      <c r="B6692" s="181">
        <v>29.202090291490283</v>
      </c>
    </row>
    <row r="6693" spans="2:2" ht="15">
      <c r="B6693" s="181">
        <v>18.589445191873214</v>
      </c>
    </row>
    <row r="6694" spans="2:2" ht="15">
      <c r="B6694" s="181">
        <v>72.224990030301967</v>
      </c>
    </row>
    <row r="6695" spans="2:2" ht="15">
      <c r="B6695" s="181">
        <v>23.075594493183136</v>
      </c>
    </row>
    <row r="6696" spans="2:2" ht="15">
      <c r="B6696" s="181">
        <v>21.692152420279275</v>
      </c>
    </row>
    <row r="6697" spans="2:2" ht="15">
      <c r="B6697" s="181">
        <v>22.710315199147686</v>
      </c>
    </row>
    <row r="6698" spans="2:2" ht="15">
      <c r="B6698" s="181">
        <v>14.519665390037632</v>
      </c>
    </row>
    <row r="6699" spans="2:2" ht="15">
      <c r="B6699" s="181">
        <v>21.279204740993855</v>
      </c>
    </row>
    <row r="6700" spans="2:2" ht="15">
      <c r="B6700" s="181">
        <v>56.857117054067928</v>
      </c>
    </row>
    <row r="6701" spans="2:2" ht="15">
      <c r="B6701" s="181">
        <v>12.935438190748807</v>
      </c>
    </row>
    <row r="6702" spans="2:2" ht="15">
      <c r="B6702" s="181">
        <v>11.099856538193697</v>
      </c>
    </row>
    <row r="6703" spans="2:2" ht="15">
      <c r="B6703" s="181">
        <v>21.236788748935716</v>
      </c>
    </row>
    <row r="6704" spans="2:2" ht="15">
      <c r="B6704" s="181">
        <v>24.918303806948124</v>
      </c>
    </row>
    <row r="6705" spans="2:2" ht="15">
      <c r="B6705" s="181">
        <v>34.393863475977938</v>
      </c>
    </row>
    <row r="6706" spans="2:2" ht="15">
      <c r="B6706" s="181">
        <v>4.2007142417773204</v>
      </c>
    </row>
    <row r="6707" spans="2:2" ht="15">
      <c r="B6707" s="181">
        <v>17.244888347814602</v>
      </c>
    </row>
    <row r="6708" spans="2:2" ht="15">
      <c r="B6708" s="181">
        <v>12.496483980756105</v>
      </c>
    </row>
    <row r="6709" spans="2:2" ht="15">
      <c r="B6709" s="181">
        <v>16.549031890007186</v>
      </c>
    </row>
    <row r="6710" spans="2:2" ht="15">
      <c r="B6710" s="181">
        <v>23.872285650375144</v>
      </c>
    </row>
    <row r="6711" spans="2:2" ht="15">
      <c r="B6711" s="181">
        <v>9.1414901164431406</v>
      </c>
    </row>
    <row r="6712" spans="2:2" ht="15">
      <c r="B6712" s="181">
        <v>7.4403658832100659</v>
      </c>
    </row>
    <row r="6713" spans="2:2" ht="15">
      <c r="B6713" s="181">
        <v>6.0025424854541702</v>
      </c>
    </row>
    <row r="6714" spans="2:2" ht="15">
      <c r="B6714" s="181">
        <v>7.9220436231935336</v>
      </c>
    </row>
    <row r="6715" spans="2:2" ht="15">
      <c r="B6715" s="181">
        <v>6.8823255876075358</v>
      </c>
    </row>
    <row r="6716" spans="2:2" ht="15">
      <c r="B6716" s="181">
        <v>6.2882384795388973</v>
      </c>
    </row>
    <row r="6717" spans="2:2" ht="15">
      <c r="B6717" s="181">
        <v>8.8965354091931701</v>
      </c>
    </row>
    <row r="6718" spans="2:2" ht="15">
      <c r="B6718" s="181">
        <v>18.336884446399516</v>
      </c>
    </row>
    <row r="6719" spans="2:2" ht="15">
      <c r="B6719" s="181">
        <v>14.895688523377435</v>
      </c>
    </row>
    <row r="6720" spans="2:2" ht="15">
      <c r="B6720" s="181">
        <v>14.291249437150373</v>
      </c>
    </row>
    <row r="6721" spans="2:2" ht="15">
      <c r="B6721" s="181">
        <v>17.766503053631514</v>
      </c>
    </row>
    <row r="6722" spans="2:2" ht="15">
      <c r="B6722" s="181">
        <v>35.371165095566212</v>
      </c>
    </row>
    <row r="6723" spans="2:2" ht="15">
      <c r="B6723" s="181">
        <v>18.546793285978527</v>
      </c>
    </row>
    <row r="6724" spans="2:2" ht="15">
      <c r="B6724" s="181">
        <v>14.410564555054174</v>
      </c>
    </row>
    <row r="6725" spans="2:2" ht="15">
      <c r="B6725" s="181">
        <v>15.547351590134438</v>
      </c>
    </row>
    <row r="6726" spans="2:2" ht="15">
      <c r="B6726" s="181">
        <v>12.479553182709902</v>
      </c>
    </row>
    <row r="6727" spans="2:2" ht="15">
      <c r="B6727" s="181">
        <v>19.935968875027836</v>
      </c>
    </row>
    <row r="6728" spans="2:2" ht="15">
      <c r="B6728" s="181">
        <v>12.117750259222236</v>
      </c>
    </row>
    <row r="6729" spans="2:2" ht="15">
      <c r="B6729" s="181">
        <v>29.686294617446851</v>
      </c>
    </row>
    <row r="6730" spans="2:2" ht="15">
      <c r="B6730" s="181">
        <v>47.896304749966397</v>
      </c>
    </row>
    <row r="6731" spans="2:2" ht="15">
      <c r="B6731" s="181">
        <v>11.984185774243334</v>
      </c>
    </row>
    <row r="6732" spans="2:2" ht="15">
      <c r="B6732" s="181">
        <v>20.224923340641272</v>
      </c>
    </row>
    <row r="6733" spans="2:2" ht="15">
      <c r="B6733" s="181">
        <v>11.94183843606652</v>
      </c>
    </row>
    <row r="6734" spans="2:2" ht="15">
      <c r="B6734" s="181">
        <v>14.60726806558379</v>
      </c>
    </row>
    <row r="6735" spans="2:2" ht="15">
      <c r="B6735" s="181">
        <v>7.2176979459083856</v>
      </c>
    </row>
    <row r="6736" spans="2:2" ht="15">
      <c r="B6736" s="181">
        <v>17.407622639319822</v>
      </c>
    </row>
    <row r="6737" spans="2:2" ht="15">
      <c r="B6737" s="181">
        <v>6.3234961749607352</v>
      </c>
    </row>
    <row r="6738" spans="2:2" ht="15">
      <c r="B6738" s="181">
        <v>7.5595563997375441</v>
      </c>
    </row>
    <row r="6739" spans="2:2" ht="15">
      <c r="B6739" s="181">
        <v>16.512794667837756</v>
      </c>
    </row>
    <row r="6740" spans="2:2" ht="15">
      <c r="B6740" s="181">
        <v>9.6268705549200426</v>
      </c>
    </row>
    <row r="6741" spans="2:2" ht="15">
      <c r="B6741" s="181">
        <v>15.169107716765012</v>
      </c>
    </row>
    <row r="6742" spans="2:2" ht="15">
      <c r="B6742" s="181">
        <v>27.084941576475718</v>
      </c>
    </row>
    <row r="6743" spans="2:2" ht="15">
      <c r="B6743" s="181">
        <v>25.750856433174391</v>
      </c>
    </row>
    <row r="6744" spans="2:2" ht="15">
      <c r="B6744" s="181">
        <v>8.7592354346876231</v>
      </c>
    </row>
    <row r="6745" spans="2:2" ht="15">
      <c r="B6745" s="181">
        <v>13.484486085330722</v>
      </c>
    </row>
    <row r="6746" spans="2:2" ht="15">
      <c r="B6746" s="181">
        <v>19.238948992528094</v>
      </c>
    </row>
    <row r="6747" spans="2:2" ht="15">
      <c r="B6747" s="181">
        <v>11.154026807725645</v>
      </c>
    </row>
    <row r="6748" spans="2:2" ht="15">
      <c r="B6748" s="181">
        <v>9.3904268053768529</v>
      </c>
    </row>
    <row r="6749" spans="2:2" ht="15">
      <c r="B6749" s="181">
        <v>24.757824333716339</v>
      </c>
    </row>
    <row r="6750" spans="2:2" ht="15">
      <c r="B6750" s="181">
        <v>30.747336828399753</v>
      </c>
    </row>
    <row r="6751" spans="2:2" ht="15">
      <c r="B6751" s="181">
        <v>12.139455287190495</v>
      </c>
    </row>
    <row r="6752" spans="2:2" ht="15">
      <c r="B6752" s="181">
        <v>18.964008783738194</v>
      </c>
    </row>
    <row r="6753" spans="2:2" ht="15">
      <c r="B6753" s="181">
        <v>17.244903625871324</v>
      </c>
    </row>
    <row r="6754" spans="2:2" ht="15">
      <c r="B6754" s="181">
        <v>8.0719799949927236</v>
      </c>
    </row>
    <row r="6755" spans="2:2" ht="15">
      <c r="B6755" s="181">
        <v>21.534017426994019</v>
      </c>
    </row>
    <row r="6756" spans="2:2" ht="15">
      <c r="B6756" s="181">
        <v>19.745482706507804</v>
      </c>
    </row>
    <row r="6757" spans="2:2" ht="15">
      <c r="B6757" s="181">
        <v>16.051936302027489</v>
      </c>
    </row>
    <row r="6758" spans="2:2" ht="15">
      <c r="B6758" s="181">
        <v>32.096042003358185</v>
      </c>
    </row>
    <row r="6759" spans="2:2" ht="15">
      <c r="B6759" s="181">
        <v>15.957646709382864</v>
      </c>
    </row>
    <row r="6760" spans="2:2" ht="15">
      <c r="B6760" s="181">
        <v>11.893918661598935</v>
      </c>
    </row>
    <row r="6761" spans="2:2" ht="15">
      <c r="B6761" s="181">
        <v>15.849379579998809</v>
      </c>
    </row>
    <row r="6762" spans="2:2" ht="15">
      <c r="B6762" s="181">
        <v>10.939316255895639</v>
      </c>
    </row>
    <row r="6763" spans="2:2" ht="15">
      <c r="B6763" s="181">
        <v>16.3638235238639</v>
      </c>
    </row>
    <row r="6764" spans="2:2" ht="15">
      <c r="B6764" s="181">
        <v>18.241931858860763</v>
      </c>
    </row>
    <row r="6765" spans="2:2" ht="15">
      <c r="B6765" s="181">
        <v>18.647185390135217</v>
      </c>
    </row>
    <row r="6766" spans="2:2" ht="15">
      <c r="B6766" s="181">
        <v>24.007715836837829</v>
      </c>
    </row>
    <row r="6767" spans="2:2" ht="15">
      <c r="B6767" s="181">
        <v>18.222317957961458</v>
      </c>
    </row>
    <row r="6768" spans="2:2" ht="15">
      <c r="B6768" s="181">
        <v>18.288667283940374</v>
      </c>
    </row>
    <row r="6769" spans="2:2" ht="15">
      <c r="B6769" s="181">
        <v>31.186590101644757</v>
      </c>
    </row>
    <row r="6770" spans="2:2" ht="15">
      <c r="B6770" s="181">
        <v>38.194322574173555</v>
      </c>
    </row>
    <row r="6771" spans="2:2" ht="15">
      <c r="B6771" s="181">
        <v>12.81269376772412</v>
      </c>
    </row>
    <row r="6772" spans="2:2" ht="15">
      <c r="B6772" s="181">
        <v>8.619040000674886</v>
      </c>
    </row>
    <row r="6773" spans="2:2" ht="15">
      <c r="B6773" s="181">
        <v>7.1284998198033573</v>
      </c>
    </row>
    <row r="6774" spans="2:2" ht="15">
      <c r="B6774" s="181">
        <v>23.385079237552741</v>
      </c>
    </row>
    <row r="6775" spans="2:2" ht="15">
      <c r="B6775" s="181">
        <v>27.869450205129411</v>
      </c>
    </row>
    <row r="6776" spans="2:2" ht="15">
      <c r="B6776" s="181">
        <v>36.872840504409794</v>
      </c>
    </row>
    <row r="6777" spans="2:2" ht="15">
      <c r="B6777" s="181">
        <v>32.750280380910539</v>
      </c>
    </row>
    <row r="6778" spans="2:2" ht="15">
      <c r="B6778" s="181">
        <v>11.746555548158051</v>
      </c>
    </row>
    <row r="6779" spans="2:2" ht="15">
      <c r="B6779" s="181">
        <v>28.513186481347439</v>
      </c>
    </row>
    <row r="6780" spans="2:2" ht="15">
      <c r="B6780" s="181">
        <v>19.680199726923902</v>
      </c>
    </row>
    <row r="6781" spans="2:2" ht="15">
      <c r="B6781" s="181">
        <v>7.1340864629799272</v>
      </c>
    </row>
    <row r="6782" spans="2:2" ht="15">
      <c r="B6782" s="181">
        <v>16.984373776768173</v>
      </c>
    </row>
    <row r="6783" spans="2:2" ht="15">
      <c r="B6783" s="181">
        <v>19.92784354346227</v>
      </c>
    </row>
    <row r="6784" spans="2:2" ht="15">
      <c r="B6784" s="181">
        <v>30.843658955302438</v>
      </c>
    </row>
    <row r="6785" spans="2:2" ht="15">
      <c r="B6785" s="181">
        <v>7.1839116713502404</v>
      </c>
    </row>
    <row r="6786" spans="2:2" ht="15">
      <c r="B6786" s="181">
        <v>11.486061769610412</v>
      </c>
    </row>
    <row r="6787" spans="2:2" ht="15">
      <c r="B6787" s="181">
        <v>11.923099516453368</v>
      </c>
    </row>
    <row r="6788" spans="2:2" ht="15">
      <c r="B6788" s="181">
        <v>11.812221994986535</v>
      </c>
    </row>
    <row r="6789" spans="2:2" ht="15">
      <c r="B6789" s="181">
        <v>22.502929427440375</v>
      </c>
    </row>
    <row r="6790" spans="2:2" ht="15">
      <c r="B6790" s="181">
        <v>22.411510448581478</v>
      </c>
    </row>
    <row r="6791" spans="2:2" ht="15">
      <c r="B6791" s="181">
        <v>12.799043408757788</v>
      </c>
    </row>
    <row r="6792" spans="2:2" ht="15">
      <c r="B6792" s="181">
        <v>21.46250899205446</v>
      </c>
    </row>
    <row r="6793" spans="2:2" ht="15">
      <c r="B6793" s="181">
        <v>54.271315691516961</v>
      </c>
    </row>
    <row r="6794" spans="2:2" ht="15">
      <c r="B6794" s="181">
        <v>17.942599473889519</v>
      </c>
    </row>
    <row r="6795" spans="2:2" ht="15">
      <c r="B6795" s="181">
        <v>13.866803798505693</v>
      </c>
    </row>
    <row r="6796" spans="2:2" ht="15">
      <c r="B6796" s="181">
        <v>12.6126870322441</v>
      </c>
    </row>
    <row r="6797" spans="2:2" ht="15">
      <c r="B6797" s="181">
        <v>8.7066774223738843</v>
      </c>
    </row>
    <row r="6798" spans="2:2" ht="15">
      <c r="B6798" s="181">
        <v>19.326415754634631</v>
      </c>
    </row>
    <row r="6799" spans="2:2" ht="15">
      <c r="B6799" s="181">
        <v>12.246948047024549</v>
      </c>
    </row>
    <row r="6800" spans="2:2" ht="15">
      <c r="B6800" s="181">
        <v>24.790117769386534</v>
      </c>
    </row>
    <row r="6801" spans="2:2" ht="15">
      <c r="B6801" s="181">
        <v>19.87053397455044</v>
      </c>
    </row>
    <row r="6802" spans="2:2" ht="15">
      <c r="B6802" s="181">
        <v>38.458093195665235</v>
      </c>
    </row>
    <row r="6803" spans="2:2" ht="15">
      <c r="B6803" s="181">
        <v>21.649912253453493</v>
      </c>
    </row>
    <row r="6804" spans="2:2" ht="15">
      <c r="B6804" s="181">
        <v>24.635646077564722</v>
      </c>
    </row>
    <row r="6805" spans="2:2" ht="15">
      <c r="B6805" s="181">
        <v>25.701403341858793</v>
      </c>
    </row>
    <row r="6806" spans="2:2" ht="15">
      <c r="B6806" s="181">
        <v>16.697850683395895</v>
      </c>
    </row>
    <row r="6807" spans="2:2" ht="15">
      <c r="B6807" s="181">
        <v>15.093727113012427</v>
      </c>
    </row>
    <row r="6808" spans="2:2" ht="15">
      <c r="B6808" s="181">
        <v>10.581791618556947</v>
      </c>
    </row>
    <row r="6809" spans="2:2" ht="15">
      <c r="B6809" s="181">
        <v>28.513536630914114</v>
      </c>
    </row>
    <row r="6810" spans="2:2" ht="15">
      <c r="B6810" s="181">
        <v>17.746959824900394</v>
      </c>
    </row>
    <row r="6811" spans="2:2" ht="15">
      <c r="B6811" s="181">
        <v>24.508544296122487</v>
      </c>
    </row>
    <row r="6812" spans="2:2" ht="15">
      <c r="B6812" s="181">
        <v>6.8693899543962038</v>
      </c>
    </row>
    <row r="6813" spans="2:2" ht="15">
      <c r="B6813" s="181">
        <v>16.694253984750894</v>
      </c>
    </row>
    <row r="6814" spans="2:2" ht="15">
      <c r="B6814" s="181">
        <v>9.2402876274214965</v>
      </c>
    </row>
    <row r="6815" spans="2:2" ht="15">
      <c r="B6815" s="181">
        <v>12.546150237300701</v>
      </c>
    </row>
    <row r="6816" spans="2:2" ht="15">
      <c r="B6816" s="181">
        <v>14.802213060791772</v>
      </c>
    </row>
    <row r="6817" spans="2:2" ht="15">
      <c r="B6817" s="181">
        <v>8.8414107747511039</v>
      </c>
    </row>
    <row r="6818" spans="2:2" ht="15">
      <c r="B6818" s="181">
        <v>10.460380741774266</v>
      </c>
    </row>
    <row r="6819" spans="2:2" ht="15">
      <c r="B6819" s="181">
        <v>10.206589085058399</v>
      </c>
    </row>
    <row r="6820" spans="2:2" ht="15">
      <c r="B6820" s="181">
        <v>16.234828630060786</v>
      </c>
    </row>
    <row r="6821" spans="2:2" ht="15">
      <c r="B6821" s="181">
        <v>27.05021741104802</v>
      </c>
    </row>
    <row r="6822" spans="2:2" ht="15">
      <c r="B6822" s="181">
        <v>20.104224237575053</v>
      </c>
    </row>
    <row r="6823" spans="2:2" ht="15">
      <c r="B6823" s="181">
        <v>25.349954031544325</v>
      </c>
    </row>
    <row r="6824" spans="2:2" ht="15">
      <c r="B6824" s="181">
        <v>5.2536075153073876</v>
      </c>
    </row>
    <row r="6825" spans="2:2" ht="15">
      <c r="B6825" s="181">
        <v>17.30460543715229</v>
      </c>
    </row>
    <row r="6826" spans="2:2" ht="15">
      <c r="B6826" s="181">
        <v>32.378205827234709</v>
      </c>
    </row>
    <row r="6827" spans="2:2" ht="15">
      <c r="B6827" s="181">
        <v>10.814438921349463</v>
      </c>
    </row>
    <row r="6828" spans="2:2" ht="15">
      <c r="B6828" s="181">
        <v>27.366114682298946</v>
      </c>
    </row>
    <row r="6829" spans="2:2" ht="15">
      <c r="B6829" s="181">
        <v>25.640699787505834</v>
      </c>
    </row>
    <row r="6830" spans="2:2" ht="15">
      <c r="B6830" s="181">
        <v>20.189318101147361</v>
      </c>
    </row>
    <row r="6831" spans="2:2" ht="15">
      <c r="B6831" s="181">
        <v>5.6155301005618048</v>
      </c>
    </row>
    <row r="6832" spans="2:2" ht="15">
      <c r="B6832" s="181">
        <v>14.900328015956143</v>
      </c>
    </row>
    <row r="6833" spans="2:2" ht="15">
      <c r="B6833" s="181">
        <v>32.819014501702718</v>
      </c>
    </row>
    <row r="6834" spans="2:2" ht="15">
      <c r="B6834" s="181">
        <v>16.900318057322647</v>
      </c>
    </row>
    <row r="6835" spans="2:2" ht="15">
      <c r="B6835" s="181">
        <v>10.948572946544443</v>
      </c>
    </row>
    <row r="6836" spans="2:2" ht="15">
      <c r="B6836" s="181">
        <v>35.462337570629749</v>
      </c>
    </row>
    <row r="6837" spans="2:2" ht="15">
      <c r="B6837" s="181">
        <v>7.3572187259023183</v>
      </c>
    </row>
    <row r="6838" spans="2:2" ht="15">
      <c r="B6838" s="181">
        <v>14.670896191537308</v>
      </c>
    </row>
    <row r="6839" spans="2:2" ht="15">
      <c r="B6839" s="181">
        <v>42.634822386175266</v>
      </c>
    </row>
    <row r="6840" spans="2:2" ht="15">
      <c r="B6840" s="181">
        <v>27.822490271516461</v>
      </c>
    </row>
    <row r="6841" spans="2:2" ht="15">
      <c r="B6841" s="181">
        <v>12.520225707583128</v>
      </c>
    </row>
    <row r="6842" spans="2:2" ht="15">
      <c r="B6842" s="181">
        <v>32.275945077509441</v>
      </c>
    </row>
    <row r="6843" spans="2:2" ht="15">
      <c r="B6843" s="181">
        <v>9.3452284551934799</v>
      </c>
    </row>
    <row r="6844" spans="2:2" ht="15">
      <c r="B6844" s="181">
        <v>16.246946497419856</v>
      </c>
    </row>
    <row r="6845" spans="2:2" ht="15">
      <c r="B6845" s="181">
        <v>26.484208673474829</v>
      </c>
    </row>
    <row r="6846" spans="2:2" ht="15">
      <c r="B6846" s="181">
        <v>17.335508185118186</v>
      </c>
    </row>
    <row r="6847" spans="2:2" ht="15">
      <c r="B6847" s="181">
        <v>13.038432897980059</v>
      </c>
    </row>
    <row r="6848" spans="2:2" ht="15">
      <c r="B6848" s="181">
        <v>30.296672830833675</v>
      </c>
    </row>
    <row r="6849" spans="2:2" ht="15">
      <c r="B6849" s="181">
        <v>11.791972227293702</v>
      </c>
    </row>
    <row r="6850" spans="2:2" ht="15">
      <c r="B6850" s="181">
        <v>23.941289628406007</v>
      </c>
    </row>
    <row r="6851" spans="2:2" ht="15">
      <c r="B6851" s="181">
        <v>20.448468062175561</v>
      </c>
    </row>
    <row r="6852" spans="2:2" ht="15">
      <c r="B6852" s="181">
        <v>7.5491791508179809</v>
      </c>
    </row>
    <row r="6853" spans="2:2" ht="15">
      <c r="B6853" s="181">
        <v>25.19835937892362</v>
      </c>
    </row>
    <row r="6854" spans="2:2" ht="15">
      <c r="B6854" s="181">
        <v>10.53060877034396</v>
      </c>
    </row>
    <row r="6855" spans="2:2" ht="15">
      <c r="B6855" s="181">
        <v>13.0220867155991</v>
      </c>
    </row>
    <row r="6856" spans="2:2" ht="15">
      <c r="B6856" s="181">
        <v>23.960219536404043</v>
      </c>
    </row>
    <row r="6857" spans="2:2" ht="15">
      <c r="B6857" s="181">
        <v>31.767094608631425</v>
      </c>
    </row>
    <row r="6858" spans="2:2" ht="15">
      <c r="B6858" s="181">
        <v>10.374642831552077</v>
      </c>
    </row>
    <row r="6859" spans="2:2" ht="15">
      <c r="B6859" s="181">
        <v>42.584078881967685</v>
      </c>
    </row>
    <row r="6860" spans="2:2" ht="15">
      <c r="B6860" s="181">
        <v>18.31422960890016</v>
      </c>
    </row>
    <row r="6861" spans="2:2" ht="15">
      <c r="B6861" s="181">
        <v>13.948417002938244</v>
      </c>
    </row>
    <row r="6862" spans="2:2" ht="15">
      <c r="B6862" s="181">
        <v>29.143076173491743</v>
      </c>
    </row>
    <row r="6863" spans="2:2" ht="15">
      <c r="B6863" s="181">
        <v>25.573503087007786</v>
      </c>
    </row>
    <row r="6864" spans="2:2" ht="15">
      <c r="B6864" s="181">
        <v>14.903075302541366</v>
      </c>
    </row>
    <row r="6865" spans="2:2" ht="15">
      <c r="B6865" s="181">
        <v>19.094539321279157</v>
      </c>
    </row>
    <row r="6866" spans="2:2" ht="15">
      <c r="B6866" s="181">
        <v>16.257640327505943</v>
      </c>
    </row>
    <row r="6867" spans="2:2" ht="15">
      <c r="B6867" s="181">
        <v>27.784840075695666</v>
      </c>
    </row>
    <row r="6868" spans="2:2" ht="15">
      <c r="B6868" s="181">
        <v>23.748744722494077</v>
      </c>
    </row>
    <row r="6869" spans="2:2" ht="15">
      <c r="B6869" s="181">
        <v>26.920615598704536</v>
      </c>
    </row>
    <row r="6870" spans="2:2" ht="15">
      <c r="B6870" s="181">
        <v>6.4922406900275922</v>
      </c>
    </row>
    <row r="6871" spans="2:2" ht="15">
      <c r="B6871" s="181">
        <v>12.683324482681591</v>
      </c>
    </row>
    <row r="6872" spans="2:2" ht="15">
      <c r="B6872" s="181">
        <v>33.431374325324832</v>
      </c>
    </row>
    <row r="6873" spans="2:2" ht="15">
      <c r="B6873" s="181">
        <v>26.054710720246621</v>
      </c>
    </row>
    <row r="6874" spans="2:2" ht="15">
      <c r="B6874" s="181">
        <v>35.735712968390295</v>
      </c>
    </row>
    <row r="6875" spans="2:2" ht="15">
      <c r="B6875" s="181">
        <v>14.086814745220314</v>
      </c>
    </row>
    <row r="6876" spans="2:2" ht="15">
      <c r="B6876" s="181">
        <v>19.285374834119736</v>
      </c>
    </row>
    <row r="6877" spans="2:2" ht="15">
      <c r="B6877" s="181">
        <v>12.1530233712216</v>
      </c>
    </row>
    <row r="6878" spans="2:2" ht="15">
      <c r="B6878" s="181">
        <v>25.633983736156409</v>
      </c>
    </row>
    <row r="6879" spans="2:2" ht="15">
      <c r="B6879" s="181">
        <v>27.822642430106317</v>
      </c>
    </row>
    <row r="6880" spans="2:2" ht="15">
      <c r="B6880" s="181">
        <v>31.381628538877322</v>
      </c>
    </row>
    <row r="6881" spans="2:2" ht="15">
      <c r="B6881" s="181">
        <v>22.021569158537361</v>
      </c>
    </row>
    <row r="6882" spans="2:2" ht="15">
      <c r="B6882" s="181">
        <v>15.59418576405171</v>
      </c>
    </row>
    <row r="6883" spans="2:2" ht="15">
      <c r="B6883" s="181">
        <v>11.810605226350791</v>
      </c>
    </row>
    <row r="6884" spans="2:2" ht="15">
      <c r="B6884" s="181">
        <v>16.009841145114375</v>
      </c>
    </row>
    <row r="6885" spans="2:2" ht="15">
      <c r="B6885" s="181">
        <v>12.871202052438235</v>
      </c>
    </row>
    <row r="6886" spans="2:2" ht="15">
      <c r="B6886" s="181">
        <v>9.1065862937944573</v>
      </c>
    </row>
    <row r="6887" spans="2:2" ht="15">
      <c r="B6887" s="181">
        <v>24.558430557846805</v>
      </c>
    </row>
    <row r="6888" spans="2:2" ht="15">
      <c r="B6888" s="181">
        <v>8.693735125075456</v>
      </c>
    </row>
    <row r="6889" spans="2:2" ht="15">
      <c r="B6889" s="181">
        <v>11.300955387592589</v>
      </c>
    </row>
    <row r="6890" spans="2:2" ht="15">
      <c r="B6890" s="181">
        <v>7.8949278226467525</v>
      </c>
    </row>
    <row r="6891" spans="2:2" ht="15">
      <c r="B6891" s="181">
        <v>23.349415303095402</v>
      </c>
    </row>
    <row r="6892" spans="2:2" ht="15">
      <c r="B6892" s="181">
        <v>25.27131508708819</v>
      </c>
    </row>
    <row r="6893" spans="2:2" ht="15">
      <c r="B6893" s="181">
        <v>8.4243248704638152</v>
      </c>
    </row>
    <row r="6894" spans="2:2" ht="15">
      <c r="B6894" s="181">
        <v>10.796688450727252</v>
      </c>
    </row>
    <row r="6895" spans="2:2" ht="15">
      <c r="B6895" s="181">
        <v>15.102739451466389</v>
      </c>
    </row>
    <row r="6896" spans="2:2" ht="15">
      <c r="B6896" s="181">
        <v>19.584913686442601</v>
      </c>
    </row>
    <row r="6897" spans="2:2" ht="15">
      <c r="B6897" s="181">
        <v>18.255668169470791</v>
      </c>
    </row>
    <row r="6898" spans="2:2" ht="15">
      <c r="B6898" s="181">
        <v>14.109352874926495</v>
      </c>
    </row>
    <row r="6899" spans="2:2" ht="15">
      <c r="B6899" s="181">
        <v>22.840937694053835</v>
      </c>
    </row>
    <row r="6900" spans="2:2" ht="15">
      <c r="B6900" s="181">
        <v>16.861468042933446</v>
      </c>
    </row>
    <row r="6901" spans="2:2" ht="15">
      <c r="B6901" s="181">
        <v>23.654432070347401</v>
      </c>
    </row>
    <row r="6902" spans="2:2" ht="15">
      <c r="B6902" s="181">
        <v>15.674186162581154</v>
      </c>
    </row>
    <row r="6903" spans="2:2" ht="15">
      <c r="B6903" s="181">
        <v>32.762937589151178</v>
      </c>
    </row>
    <row r="6904" spans="2:2" ht="15">
      <c r="B6904" s="181">
        <v>22.105755907130796</v>
      </c>
    </row>
    <row r="6905" spans="2:2" ht="15">
      <c r="B6905" s="181">
        <v>47.380694460987627</v>
      </c>
    </row>
    <row r="6906" spans="2:2" ht="15">
      <c r="B6906" s="181">
        <v>47.070351561176658</v>
      </c>
    </row>
    <row r="6907" spans="2:2" ht="15">
      <c r="B6907" s="181">
        <v>37.517120911347796</v>
      </c>
    </row>
    <row r="6908" spans="2:2" ht="15">
      <c r="B6908" s="181">
        <v>11.658883941364362</v>
      </c>
    </row>
    <row r="6909" spans="2:2" ht="15">
      <c r="B6909" s="181">
        <v>19.354377137970392</v>
      </c>
    </row>
    <row r="6910" spans="2:2" ht="15">
      <c r="B6910" s="181">
        <v>28.775033974193686</v>
      </c>
    </row>
    <row r="6911" spans="2:2" ht="15">
      <c r="B6911" s="181">
        <v>33.983412555035805</v>
      </c>
    </row>
    <row r="6912" spans="2:2" ht="15">
      <c r="B6912" s="181">
        <v>16.944143748114762</v>
      </c>
    </row>
    <row r="6913" spans="2:2" ht="15">
      <c r="B6913" s="181">
        <v>8.4453346436095682</v>
      </c>
    </row>
    <row r="6914" spans="2:2" ht="15">
      <c r="B6914" s="181">
        <v>49.4258096183951</v>
      </c>
    </row>
    <row r="6915" spans="2:2" ht="15">
      <c r="B6915" s="181">
        <v>28.058700855050247</v>
      </c>
    </row>
    <row r="6916" spans="2:2" ht="15">
      <c r="B6916" s="181">
        <v>5.8698437919188349</v>
      </c>
    </row>
    <row r="6917" spans="2:2" ht="15">
      <c r="B6917" s="181">
        <v>23.294344232198352</v>
      </c>
    </row>
    <row r="6918" spans="2:2" ht="15">
      <c r="B6918" s="181">
        <v>23.836724681650541</v>
      </c>
    </row>
    <row r="6919" spans="2:2" ht="15">
      <c r="B6919" s="181">
        <v>12.589818678154327</v>
      </c>
    </row>
    <row r="6920" spans="2:2" ht="15">
      <c r="B6920" s="181">
        <v>38.65397042961952</v>
      </c>
    </row>
    <row r="6921" spans="2:2" ht="15">
      <c r="B6921" s="181">
        <v>22.168385903750679</v>
      </c>
    </row>
    <row r="6922" spans="2:2" ht="15">
      <c r="B6922" s="181">
        <v>23.34774171650238</v>
      </c>
    </row>
    <row r="6923" spans="2:2" ht="15">
      <c r="B6923" s="181">
        <v>7.4110013268919213</v>
      </c>
    </row>
    <row r="6924" spans="2:2" ht="15">
      <c r="B6924" s="181">
        <v>11.116164021203705</v>
      </c>
    </row>
    <row r="6925" spans="2:2" ht="15">
      <c r="B6925" s="181">
        <v>22.336863888770832</v>
      </c>
    </row>
    <row r="6926" spans="2:2" ht="15">
      <c r="B6926" s="181">
        <v>13.977410378224072</v>
      </c>
    </row>
    <row r="6927" spans="2:2" ht="15">
      <c r="B6927" s="181">
        <v>30.984327099834129</v>
      </c>
    </row>
    <row r="6928" spans="2:2" ht="15">
      <c r="B6928" s="181">
        <v>22.771001708169461</v>
      </c>
    </row>
    <row r="6929" spans="2:2" ht="15">
      <c r="B6929" s="181">
        <v>16.270097246033767</v>
      </c>
    </row>
    <row r="6930" spans="2:2" ht="15">
      <c r="B6930" s="181">
        <v>15.34453310945271</v>
      </c>
    </row>
    <row r="6931" spans="2:2" ht="15">
      <c r="B6931" s="181">
        <v>9.9369824387599568</v>
      </c>
    </row>
    <row r="6932" spans="2:2" ht="15">
      <c r="B6932" s="181">
        <v>35.061634100060978</v>
      </c>
    </row>
    <row r="6933" spans="2:2" ht="15">
      <c r="B6933" s="181">
        <v>36.088572653795218</v>
      </c>
    </row>
    <row r="6934" spans="2:2" ht="15">
      <c r="B6934" s="181">
        <v>14.066639771302006</v>
      </c>
    </row>
    <row r="6935" spans="2:2" ht="15">
      <c r="B6935" s="181">
        <v>8.5550195122424615</v>
      </c>
    </row>
    <row r="6936" spans="2:2" ht="15">
      <c r="B6936" s="181">
        <v>13.823569556916757</v>
      </c>
    </row>
    <row r="6937" spans="2:2" ht="15">
      <c r="B6937" s="181">
        <v>19.69837690883438</v>
      </c>
    </row>
    <row r="6938" spans="2:2" ht="15">
      <c r="B6938" s="181">
        <v>10.830920346239232</v>
      </c>
    </row>
    <row r="6939" spans="2:2" ht="15">
      <c r="B6939" s="181">
        <v>19.950085568831373</v>
      </c>
    </row>
    <row r="6940" spans="2:2" ht="15">
      <c r="B6940" s="181">
        <v>35.054778838315848</v>
      </c>
    </row>
    <row r="6941" spans="2:2" ht="15">
      <c r="B6941" s="181">
        <v>19.279808787883589</v>
      </c>
    </row>
    <row r="6942" spans="2:2" ht="15">
      <c r="B6942" s="181">
        <v>10.475113342347896</v>
      </c>
    </row>
    <row r="6943" spans="2:2" ht="15">
      <c r="B6943" s="181">
        <v>23.392530521984487</v>
      </c>
    </row>
    <row r="6944" spans="2:2" ht="15">
      <c r="B6944" s="181">
        <v>21.821153958294992</v>
      </c>
    </row>
    <row r="6945" spans="2:2" ht="15">
      <c r="B6945" s="181">
        <v>15.187186198982772</v>
      </c>
    </row>
    <row r="6946" spans="2:2" ht="15">
      <c r="B6946" s="181">
        <v>24.685273789374978</v>
      </c>
    </row>
    <row r="6947" spans="2:2" ht="15">
      <c r="B6947" s="181">
        <v>46.918134546076026</v>
      </c>
    </row>
    <row r="6948" spans="2:2" ht="15">
      <c r="B6948" s="181">
        <v>16.410128915690301</v>
      </c>
    </row>
    <row r="6949" spans="2:2" ht="15">
      <c r="B6949" s="181">
        <v>26.080073086946726</v>
      </c>
    </row>
    <row r="6950" spans="2:2" ht="15">
      <c r="B6950" s="181">
        <v>4.8462184731831579</v>
      </c>
    </row>
    <row r="6951" spans="2:2" ht="15">
      <c r="B6951" s="181">
        <v>21.550242099662874</v>
      </c>
    </row>
    <row r="6952" spans="2:2" ht="15">
      <c r="B6952" s="181">
        <v>49.173830850075639</v>
      </c>
    </row>
    <row r="6953" spans="2:2" ht="15">
      <c r="B6953" s="181">
        <v>36.476443311720722</v>
      </c>
    </row>
    <row r="6954" spans="2:2" ht="15">
      <c r="B6954" s="181">
        <v>23.036994251432048</v>
      </c>
    </row>
    <row r="6955" spans="2:2" ht="15">
      <c r="B6955" s="181">
        <v>24.014006757381654</v>
      </c>
    </row>
    <row r="6956" spans="2:2" ht="15">
      <c r="B6956" s="181">
        <v>26.962273684709537</v>
      </c>
    </row>
    <row r="6957" spans="2:2" ht="15">
      <c r="B6957" s="181">
        <v>18.975576591942438</v>
      </c>
    </row>
    <row r="6958" spans="2:2" ht="15">
      <c r="B6958" s="181">
        <v>48.639686342001909</v>
      </c>
    </row>
    <row r="6959" spans="2:2" ht="15">
      <c r="B6959" s="181">
        <v>50.242536392425286</v>
      </c>
    </row>
    <row r="6960" spans="2:2" ht="15">
      <c r="B6960" s="181">
        <v>38.108234313156252</v>
      </c>
    </row>
    <row r="6961" spans="2:2" ht="15">
      <c r="B6961" s="181">
        <v>8.6328139141950562</v>
      </c>
    </row>
    <row r="6962" spans="2:2" ht="15">
      <c r="B6962" s="181">
        <v>23.924867698313943</v>
      </c>
    </row>
    <row r="6963" spans="2:2" ht="15">
      <c r="B6963" s="181">
        <v>27.181959805738764</v>
      </c>
    </row>
    <row r="6964" spans="2:2" ht="15">
      <c r="B6964" s="181">
        <v>36.343632233136958</v>
      </c>
    </row>
    <row r="6965" spans="2:2" ht="15">
      <c r="B6965" s="181">
        <v>25.453766546325699</v>
      </c>
    </row>
    <row r="6966" spans="2:2" ht="15">
      <c r="B6966" s="181">
        <v>15.760127964357595</v>
      </c>
    </row>
    <row r="6967" spans="2:2" ht="15">
      <c r="B6967" s="181">
        <v>12.96857440510535</v>
      </c>
    </row>
    <row r="6968" spans="2:2" ht="15">
      <c r="B6968" s="181">
        <v>25.153508061337494</v>
      </c>
    </row>
    <row r="6969" spans="2:2" ht="15">
      <c r="B6969" s="181">
        <v>35.876620940266513</v>
      </c>
    </row>
    <row r="6970" spans="2:2" ht="15">
      <c r="B6970" s="181">
        <v>16.849058541345347</v>
      </c>
    </row>
    <row r="6971" spans="2:2" ht="15">
      <c r="B6971" s="181">
        <v>29.405000235888377</v>
      </c>
    </row>
    <row r="6972" spans="2:2" ht="15">
      <c r="B6972" s="181">
        <v>13.513333877035221</v>
      </c>
    </row>
    <row r="6973" spans="2:2" ht="15">
      <c r="B6973" s="181">
        <v>35.299053929985021</v>
      </c>
    </row>
    <row r="6974" spans="2:2" ht="15">
      <c r="B6974" s="181">
        <v>34.244971690719602</v>
      </c>
    </row>
    <row r="6975" spans="2:2" ht="15">
      <c r="B6975" s="181">
        <v>18.497044678912516</v>
      </c>
    </row>
    <row r="6976" spans="2:2" ht="15">
      <c r="B6976" s="181">
        <v>42.27428242965</v>
      </c>
    </row>
    <row r="6977" spans="2:2" ht="15">
      <c r="B6977" s="181">
        <v>13.822392012415882</v>
      </c>
    </row>
    <row r="6978" spans="2:2" ht="15">
      <c r="B6978" s="181">
        <v>18.554134411548098</v>
      </c>
    </row>
    <row r="6979" spans="2:2" ht="15">
      <c r="B6979" s="181">
        <v>16.062285090503252</v>
      </c>
    </row>
    <row r="6980" spans="2:2" ht="15">
      <c r="B6980" s="181">
        <v>17.233093875333562</v>
      </c>
    </row>
    <row r="6981" spans="2:2" ht="15">
      <c r="B6981" s="181">
        <v>16.032844617961139</v>
      </c>
    </row>
    <row r="6982" spans="2:2" ht="15">
      <c r="B6982" s="181">
        <v>11.695961747733461</v>
      </c>
    </row>
    <row r="6983" spans="2:2" ht="15">
      <c r="B6983" s="181">
        <v>28.629172029498779</v>
      </c>
    </row>
    <row r="6984" spans="2:2" ht="15">
      <c r="B6984" s="181">
        <v>6.5956029497392086</v>
      </c>
    </row>
    <row r="6985" spans="2:2" ht="15">
      <c r="B6985" s="181">
        <v>39.632925729181125</v>
      </c>
    </row>
    <row r="6986" spans="2:2" ht="15">
      <c r="B6986" s="181">
        <v>26.825234426404638</v>
      </c>
    </row>
    <row r="6987" spans="2:2" ht="15">
      <c r="B6987" s="181">
        <v>34.438437463288061</v>
      </c>
    </row>
    <row r="6988" spans="2:2" ht="15">
      <c r="B6988" s="181">
        <v>29.701440991292223</v>
      </c>
    </row>
    <row r="6989" spans="2:2" ht="15">
      <c r="B6989" s="181">
        <v>6.4441520364303813</v>
      </c>
    </row>
    <row r="6990" spans="2:2" ht="15">
      <c r="B6990" s="181">
        <v>22.06283742633638</v>
      </c>
    </row>
    <row r="6991" spans="2:2" ht="15">
      <c r="B6991" s="181">
        <v>13.509426529584291</v>
      </c>
    </row>
    <row r="6992" spans="2:2" ht="15">
      <c r="B6992" s="181">
        <v>15.488866564365628</v>
      </c>
    </row>
    <row r="6993" spans="2:2" ht="15">
      <c r="B6993" s="181">
        <v>16.580160125454018</v>
      </c>
    </row>
    <row r="6994" spans="2:2" ht="15">
      <c r="B6994" s="181">
        <v>29.724115758002519</v>
      </c>
    </row>
    <row r="6995" spans="2:2" ht="15">
      <c r="B6995" s="181">
        <v>23.260786800847725</v>
      </c>
    </row>
    <row r="6996" spans="2:2" ht="15">
      <c r="B6996" s="181">
        <v>17.732475125706983</v>
      </c>
    </row>
    <row r="6997" spans="2:2" ht="15">
      <c r="B6997" s="181">
        <v>12.24217426474465</v>
      </c>
    </row>
    <row r="6998" spans="2:2" ht="15">
      <c r="B6998" s="181">
        <v>46.305612250211006</v>
      </c>
    </row>
    <row r="6999" spans="2:2" ht="15">
      <c r="B6999" s="181">
        <v>11.532624119541792</v>
      </c>
    </row>
    <row r="7000" spans="2:2" ht="15">
      <c r="B7000" s="181">
        <v>16.74222583563575</v>
      </c>
    </row>
    <row r="7001" spans="2:2" ht="15">
      <c r="B7001" s="181">
        <v>14.911933692276227</v>
      </c>
    </row>
    <row r="7002" spans="2:2" ht="15">
      <c r="B7002" s="181">
        <v>21.71644703876078</v>
      </c>
    </row>
    <row r="7003" spans="2:2" ht="15">
      <c r="B7003" s="181">
        <v>13.052287206516457</v>
      </c>
    </row>
    <row r="7004" spans="2:2" ht="15">
      <c r="B7004" s="181">
        <v>13.368032305825805</v>
      </c>
    </row>
    <row r="7005" spans="2:2" ht="15">
      <c r="B7005" s="181">
        <v>3.5690165950966741</v>
      </c>
    </row>
    <row r="7006" spans="2:2" ht="15">
      <c r="B7006" s="181">
        <v>22.803528713936458</v>
      </c>
    </row>
    <row r="7007" spans="2:2" ht="15">
      <c r="B7007" s="181">
        <v>19.984252161284207</v>
      </c>
    </row>
    <row r="7008" spans="2:2" ht="15">
      <c r="B7008" s="181">
        <v>14.556947581398004</v>
      </c>
    </row>
    <row r="7009" spans="2:2" ht="15">
      <c r="B7009" s="181">
        <v>35.259130698533909</v>
      </c>
    </row>
    <row r="7010" spans="2:2" ht="15">
      <c r="B7010" s="181">
        <v>34.44452727113994</v>
      </c>
    </row>
    <row r="7011" spans="2:2" ht="15">
      <c r="B7011" s="181">
        <v>19.007237612677823</v>
      </c>
    </row>
    <row r="7012" spans="2:2" ht="15">
      <c r="B7012" s="181">
        <v>8.7389395016450528</v>
      </c>
    </row>
    <row r="7013" spans="2:2" ht="15">
      <c r="B7013" s="181">
        <v>9.0294613673598789</v>
      </c>
    </row>
    <row r="7014" spans="2:2" ht="15">
      <c r="B7014" s="181">
        <v>15.592775997615069</v>
      </c>
    </row>
    <row r="7015" spans="2:2" ht="15">
      <c r="B7015" s="181">
        <v>28.970598536841759</v>
      </c>
    </row>
    <row r="7016" spans="2:2" ht="15">
      <c r="B7016" s="181">
        <v>18.227241290042429</v>
      </c>
    </row>
    <row r="7017" spans="2:2" ht="15">
      <c r="B7017" s="181">
        <v>20.495896278156135</v>
      </c>
    </row>
    <row r="7018" spans="2:2" ht="15">
      <c r="B7018" s="181">
        <v>42.351882921459783</v>
      </c>
    </row>
    <row r="7019" spans="2:2" ht="15">
      <c r="B7019" s="181">
        <v>24.303736418953136</v>
      </c>
    </row>
    <row r="7020" spans="2:2" ht="15">
      <c r="B7020" s="181">
        <v>12.934542144792667</v>
      </c>
    </row>
    <row r="7021" spans="2:2" ht="15">
      <c r="B7021" s="181">
        <v>25.968685875993149</v>
      </c>
    </row>
    <row r="7022" spans="2:2" ht="15">
      <c r="B7022" s="181">
        <v>15.880641723966114</v>
      </c>
    </row>
    <row r="7023" spans="2:2" ht="15">
      <c r="B7023" s="181">
        <v>27.686691255642074</v>
      </c>
    </row>
    <row r="7024" spans="2:2" ht="15">
      <c r="B7024" s="181">
        <v>5.9576023409210617</v>
      </c>
    </row>
    <row r="7025" spans="2:2" ht="15">
      <c r="B7025" s="181">
        <v>11.300989236978017</v>
      </c>
    </row>
    <row r="7026" spans="2:2" ht="15">
      <c r="B7026" s="181">
        <v>14.773587678385534</v>
      </c>
    </row>
    <row r="7027" spans="2:2" ht="15">
      <c r="B7027" s="181">
        <v>13.119114070688697</v>
      </c>
    </row>
    <row r="7028" spans="2:2" ht="15">
      <c r="B7028" s="181">
        <v>15.954585894264433</v>
      </c>
    </row>
    <row r="7029" spans="2:2" ht="15">
      <c r="B7029" s="181">
        <v>9.1638169463693302</v>
      </c>
    </row>
    <row r="7030" spans="2:2" ht="15">
      <c r="B7030" s="181">
        <v>17.662714501927201</v>
      </c>
    </row>
    <row r="7031" spans="2:2" ht="15">
      <c r="B7031" s="181">
        <v>21.421509690143996</v>
      </c>
    </row>
    <row r="7032" spans="2:2" ht="15">
      <c r="B7032" s="181">
        <v>16.226583535542044</v>
      </c>
    </row>
    <row r="7033" spans="2:2" ht="15">
      <c r="B7033" s="181">
        <v>12.309164371319763</v>
      </c>
    </row>
    <row r="7034" spans="2:2" ht="15">
      <c r="B7034" s="181">
        <v>24.563236883704015</v>
      </c>
    </row>
    <row r="7035" spans="2:2" ht="15">
      <c r="B7035" s="181">
        <v>29.289365220654073</v>
      </c>
    </row>
    <row r="7036" spans="2:2" ht="15">
      <c r="B7036" s="181">
        <v>15.318572447349682</v>
      </c>
    </row>
    <row r="7037" spans="2:2" ht="15">
      <c r="B7037" s="181">
        <v>25.244076693717712</v>
      </c>
    </row>
    <row r="7038" spans="2:2" ht="15">
      <c r="B7038" s="181">
        <v>21.165333228106057</v>
      </c>
    </row>
    <row r="7039" spans="2:2" ht="15">
      <c r="B7039" s="181">
        <v>6.66054641149608</v>
      </c>
    </row>
    <row r="7040" spans="2:2" ht="15">
      <c r="B7040" s="181">
        <v>18.718333891262283</v>
      </c>
    </row>
    <row r="7041" spans="2:2" ht="15">
      <c r="B7041" s="181">
        <v>28.189577091912604</v>
      </c>
    </row>
    <row r="7042" spans="2:2" ht="15">
      <c r="B7042" s="181">
        <v>51.60278904024937</v>
      </c>
    </row>
    <row r="7043" spans="2:2" ht="15">
      <c r="B7043" s="181">
        <v>17.300311847678156</v>
      </c>
    </row>
    <row r="7044" spans="2:2" ht="15">
      <c r="B7044" s="181">
        <v>21.50142466648968</v>
      </c>
    </row>
    <row r="7045" spans="2:2" ht="15">
      <c r="B7045" s="181">
        <v>18.315363705610785</v>
      </c>
    </row>
    <row r="7046" spans="2:2" ht="15">
      <c r="B7046" s="181">
        <v>17.747458649272197</v>
      </c>
    </row>
    <row r="7047" spans="2:2" ht="15">
      <c r="B7047" s="181">
        <v>58.405041092558093</v>
      </c>
    </row>
    <row r="7048" spans="2:2" ht="15">
      <c r="B7048" s="181">
        <v>13.185300247041948</v>
      </c>
    </row>
    <row r="7049" spans="2:2" ht="15">
      <c r="B7049" s="181">
        <v>26.331501836864575</v>
      </c>
    </row>
    <row r="7050" spans="2:2" ht="15">
      <c r="B7050" s="181">
        <v>13.800077824689104</v>
      </c>
    </row>
    <row r="7051" spans="2:2" ht="15">
      <c r="B7051" s="181">
        <v>12.027798790959945</v>
      </c>
    </row>
    <row r="7052" spans="2:2" ht="15">
      <c r="B7052" s="181">
        <v>18.542363927523549</v>
      </c>
    </row>
    <row r="7053" spans="2:2" ht="15">
      <c r="B7053" s="181">
        <v>10.131555071539001</v>
      </c>
    </row>
    <row r="7054" spans="2:2" ht="15">
      <c r="B7054" s="181">
        <v>49.201840829005128</v>
      </c>
    </row>
    <row r="7055" spans="2:2" ht="15">
      <c r="B7055" s="181">
        <v>68.125466428991459</v>
      </c>
    </row>
    <row r="7056" spans="2:2" ht="15">
      <c r="B7056" s="181">
        <v>28.126175603194863</v>
      </c>
    </row>
    <row r="7057" spans="2:2" ht="15">
      <c r="B7057" s="181">
        <v>37.192544154506983</v>
      </c>
    </row>
    <row r="7058" spans="2:2" ht="15">
      <c r="B7058" s="181">
        <v>52.990483858197351</v>
      </c>
    </row>
    <row r="7059" spans="2:2" ht="15">
      <c r="B7059" s="181">
        <v>19.481836770780347</v>
      </c>
    </row>
    <row r="7060" spans="2:2" ht="15">
      <c r="B7060" s="181">
        <v>33.268241316956285</v>
      </c>
    </row>
    <row r="7061" spans="2:2" ht="15">
      <c r="B7061" s="181">
        <v>9.8316565304088464</v>
      </c>
    </row>
    <row r="7062" spans="2:2" ht="15">
      <c r="B7062" s="181">
        <v>27.366655763588788</v>
      </c>
    </row>
    <row r="7063" spans="2:2" ht="15">
      <c r="B7063" s="181">
        <v>20.262388001597799</v>
      </c>
    </row>
    <row r="7064" spans="2:2" ht="15">
      <c r="B7064" s="181">
        <v>14.200074115418392</v>
      </c>
    </row>
    <row r="7065" spans="2:2" ht="15">
      <c r="B7065" s="181">
        <v>36.948053330971803</v>
      </c>
    </row>
    <row r="7066" spans="2:2" ht="15">
      <c r="B7066" s="181">
        <v>13.263924407396559</v>
      </c>
    </row>
    <row r="7067" spans="2:2" ht="15">
      <c r="B7067" s="181">
        <v>24.086704392849633</v>
      </c>
    </row>
    <row r="7068" spans="2:2" ht="15">
      <c r="B7068" s="181">
        <v>11.420403106794119</v>
      </c>
    </row>
    <row r="7069" spans="2:2" ht="15">
      <c r="B7069" s="181">
        <v>8.6570066215428181</v>
      </c>
    </row>
    <row r="7070" spans="2:2" ht="15">
      <c r="B7070" s="181">
        <v>28.681795563998374</v>
      </c>
    </row>
    <row r="7071" spans="2:2" ht="15">
      <c r="B7071" s="181">
        <v>10.090673795221159</v>
      </c>
    </row>
    <row r="7072" spans="2:2" ht="15">
      <c r="B7072" s="181">
        <v>9.7680888177482998</v>
      </c>
    </row>
    <row r="7073" spans="2:2" ht="15">
      <c r="B7073" s="181">
        <v>8.5932961028318999</v>
      </c>
    </row>
    <row r="7074" spans="2:2" ht="15">
      <c r="B7074" s="181">
        <v>23.135868500552494</v>
      </c>
    </row>
    <row r="7075" spans="2:2" ht="15">
      <c r="B7075" s="181">
        <v>10.143478185725591</v>
      </c>
    </row>
    <row r="7076" spans="2:2" ht="15">
      <c r="B7076" s="181">
        <v>6.485810611900142</v>
      </c>
    </row>
    <row r="7077" spans="2:2" ht="15">
      <c r="B7077" s="181">
        <v>20.17011552188832</v>
      </c>
    </row>
    <row r="7078" spans="2:2" ht="15">
      <c r="B7078" s="181">
        <v>32.045317192772316</v>
      </c>
    </row>
    <row r="7079" spans="2:2" ht="15">
      <c r="B7079" s="181">
        <v>24.12697112018029</v>
      </c>
    </row>
    <row r="7080" spans="2:2" ht="15">
      <c r="B7080" s="181">
        <v>24.012185025513542</v>
      </c>
    </row>
    <row r="7081" spans="2:2" ht="15">
      <c r="B7081" s="181">
        <v>11.814653629396993</v>
      </c>
    </row>
    <row r="7082" spans="2:2" ht="15">
      <c r="B7082" s="181">
        <v>13.505717606393787</v>
      </c>
    </row>
    <row r="7083" spans="2:2" ht="15">
      <c r="B7083" s="181">
        <v>16.239560632420559</v>
      </c>
    </row>
    <row r="7084" spans="2:2" ht="15">
      <c r="B7084" s="181">
        <v>9.5797681726222397</v>
      </c>
    </row>
    <row r="7085" spans="2:2" ht="15">
      <c r="B7085" s="181">
        <v>19.575191455110666</v>
      </c>
    </row>
    <row r="7086" spans="2:2" ht="15">
      <c r="B7086" s="181">
        <v>7.1692194582333046</v>
      </c>
    </row>
    <row r="7087" spans="2:2" ht="15">
      <c r="B7087" s="181">
        <v>30.264690117499931</v>
      </c>
    </row>
    <row r="7088" spans="2:2" ht="15">
      <c r="B7088" s="181">
        <v>27.12750282968609</v>
      </c>
    </row>
    <row r="7089" spans="2:2" ht="15">
      <c r="B7089" s="181">
        <v>19.79939860144928</v>
      </c>
    </row>
    <row r="7090" spans="2:2" ht="15">
      <c r="B7090" s="181">
        <v>30.427532145193755</v>
      </c>
    </row>
    <row r="7091" spans="2:2" ht="15">
      <c r="B7091" s="181">
        <v>32.01418871094635</v>
      </c>
    </row>
    <row r="7092" spans="2:2" ht="15">
      <c r="B7092" s="181">
        <v>12.796363046540352</v>
      </c>
    </row>
    <row r="7093" spans="2:2" ht="15">
      <c r="B7093" s="181">
        <v>15.567945236588709</v>
      </c>
    </row>
    <row r="7094" spans="2:2" ht="15">
      <c r="B7094" s="181">
        <v>35.780204590572801</v>
      </c>
    </row>
    <row r="7095" spans="2:2" ht="15">
      <c r="B7095" s="181">
        <v>35.796786603525575</v>
      </c>
    </row>
    <row r="7096" spans="2:2" ht="15">
      <c r="B7096" s="181">
        <v>44.256834574495656</v>
      </c>
    </row>
    <row r="7097" spans="2:2" ht="15">
      <c r="B7097" s="181">
        <v>26.681853610401955</v>
      </c>
    </row>
    <row r="7098" spans="2:2" ht="15">
      <c r="B7098" s="181">
        <v>47.00029504524155</v>
      </c>
    </row>
    <row r="7099" spans="2:2" ht="15">
      <c r="B7099" s="181">
        <v>34.444367762204273</v>
      </c>
    </row>
    <row r="7100" spans="2:2" ht="15">
      <c r="B7100" s="181">
        <v>21.842036191961803</v>
      </c>
    </row>
    <row r="7101" spans="2:2" ht="15">
      <c r="B7101" s="181">
        <v>15.66663230112686</v>
      </c>
    </row>
    <row r="7102" spans="2:2" ht="15">
      <c r="B7102" s="181">
        <v>8.855234387748796</v>
      </c>
    </row>
    <row r="7103" spans="2:2" ht="15">
      <c r="B7103" s="181">
        <v>15.524787179510069</v>
      </c>
    </row>
    <row r="7104" spans="2:2" ht="15">
      <c r="B7104" s="181">
        <v>8.1546176931193148</v>
      </c>
    </row>
    <row r="7105" spans="2:2" ht="15">
      <c r="B7105" s="181">
        <v>14.568603826971119</v>
      </c>
    </row>
    <row r="7106" spans="2:2" ht="15">
      <c r="B7106" s="181">
        <v>28.377013081736976</v>
      </c>
    </row>
    <row r="7107" spans="2:2" ht="15">
      <c r="B7107" s="181">
        <v>18.073740227902036</v>
      </c>
    </row>
    <row r="7108" spans="2:2" ht="15">
      <c r="B7108" s="181">
        <v>18.844523039595458</v>
      </c>
    </row>
    <row r="7109" spans="2:2" ht="15">
      <c r="B7109" s="181">
        <v>11.298090547129306</v>
      </c>
    </row>
    <row r="7110" spans="2:2" ht="15">
      <c r="B7110" s="181">
        <v>13.90770551338507</v>
      </c>
    </row>
    <row r="7111" spans="2:2" ht="15">
      <c r="B7111" s="181">
        <v>20.207172863448243</v>
      </c>
    </row>
    <row r="7112" spans="2:2" ht="15">
      <c r="B7112" s="181">
        <v>15.886350211779945</v>
      </c>
    </row>
    <row r="7113" spans="2:2" ht="15">
      <c r="B7113" s="181">
        <v>17.945082935321256</v>
      </c>
    </row>
    <row r="7114" spans="2:2" ht="15">
      <c r="B7114" s="181">
        <v>13.64949906164334</v>
      </c>
    </row>
    <row r="7115" spans="2:2" ht="15">
      <c r="B7115" s="181">
        <v>22.567019570986361</v>
      </c>
    </row>
    <row r="7116" spans="2:2" ht="15">
      <c r="B7116" s="181">
        <v>16.594940567477188</v>
      </c>
    </row>
    <row r="7117" spans="2:2" ht="15">
      <c r="B7117" s="181">
        <v>9.0341875946953891</v>
      </c>
    </row>
    <row r="7118" spans="2:2" ht="15">
      <c r="B7118" s="181">
        <v>10.261402819116709</v>
      </c>
    </row>
    <row r="7119" spans="2:2" ht="15">
      <c r="B7119" s="181">
        <v>6.6524196000541203</v>
      </c>
    </row>
    <row r="7120" spans="2:2" ht="15">
      <c r="B7120" s="181">
        <v>24.110181702567047</v>
      </c>
    </row>
    <row r="7121" spans="2:2" ht="15">
      <c r="B7121" s="181">
        <v>22.390236079894276</v>
      </c>
    </row>
    <row r="7122" spans="2:2" ht="15">
      <c r="B7122" s="181">
        <v>35.325903220825992</v>
      </c>
    </row>
    <row r="7123" spans="2:2" ht="15">
      <c r="B7123" s="181">
        <v>16.932063210161637</v>
      </c>
    </row>
    <row r="7124" spans="2:2" ht="15">
      <c r="B7124" s="181">
        <v>20.212329964001523</v>
      </c>
    </row>
    <row r="7125" spans="2:2" ht="15">
      <c r="B7125" s="181">
        <v>18.721511727026453</v>
      </c>
    </row>
    <row r="7126" spans="2:2" ht="15">
      <c r="B7126" s="181">
        <v>8.1464754143241098</v>
      </c>
    </row>
    <row r="7127" spans="2:2" ht="15">
      <c r="B7127" s="181">
        <v>23.038287972240685</v>
      </c>
    </row>
    <row r="7128" spans="2:2" ht="15">
      <c r="B7128" s="181">
        <v>12.459351208339829</v>
      </c>
    </row>
    <row r="7129" spans="2:2" ht="15">
      <c r="B7129" s="181">
        <v>61.900759966704193</v>
      </c>
    </row>
    <row r="7130" spans="2:2" ht="15">
      <c r="B7130" s="181">
        <v>13.019330504962111</v>
      </c>
    </row>
    <row r="7131" spans="2:2" ht="15">
      <c r="B7131" s="181">
        <v>14.503268834723826</v>
      </c>
    </row>
    <row r="7132" spans="2:2" ht="15">
      <c r="B7132" s="181">
        <v>14.986811432117769</v>
      </c>
    </row>
    <row r="7133" spans="2:2" ht="15">
      <c r="B7133" s="181">
        <v>38.311861058310662</v>
      </c>
    </row>
    <row r="7134" spans="2:2" ht="15">
      <c r="B7134" s="181">
        <v>18.785378963193615</v>
      </c>
    </row>
    <row r="7135" spans="2:2" ht="15">
      <c r="B7135" s="181">
        <v>26.04685516467617</v>
      </c>
    </row>
    <row r="7136" spans="2:2" ht="15">
      <c r="B7136" s="181">
        <v>25.480512198689151</v>
      </c>
    </row>
    <row r="7137" spans="2:2" ht="15">
      <c r="B7137" s="181">
        <v>34.20129302953471</v>
      </c>
    </row>
    <row r="7138" spans="2:2" ht="15">
      <c r="B7138" s="181">
        <v>11.102007978118484</v>
      </c>
    </row>
    <row r="7139" spans="2:2" ht="15">
      <c r="B7139" s="181">
        <v>11.208387001070223</v>
      </c>
    </row>
    <row r="7140" spans="2:2" ht="15">
      <c r="B7140" s="181">
        <v>18.166017340190471</v>
      </c>
    </row>
    <row r="7141" spans="2:2" ht="15">
      <c r="B7141" s="181">
        <v>7.7798544510642582</v>
      </c>
    </row>
    <row r="7142" spans="2:2" ht="15">
      <c r="B7142" s="181">
        <v>15.460198385933328</v>
      </c>
    </row>
    <row r="7143" spans="2:2" ht="15">
      <c r="B7143" s="181">
        <v>8.1047676775765218</v>
      </c>
    </row>
    <row r="7144" spans="2:2" ht="15">
      <c r="B7144" s="181">
        <v>15.271213549815789</v>
      </c>
    </row>
    <row r="7145" spans="2:2" ht="15">
      <c r="B7145" s="181">
        <v>8.0855008520819744</v>
      </c>
    </row>
    <row r="7146" spans="2:2" ht="15">
      <c r="B7146" s="181">
        <v>19.253008271769946</v>
      </c>
    </row>
    <row r="7147" spans="2:2" ht="15">
      <c r="B7147" s="181">
        <v>27.023905276766619</v>
      </c>
    </row>
    <row r="7148" spans="2:2" ht="15">
      <c r="B7148" s="181">
        <v>26.586036138603109</v>
      </c>
    </row>
    <row r="7149" spans="2:2" ht="15">
      <c r="B7149" s="181">
        <v>6.2050306053466331</v>
      </c>
    </row>
    <row r="7150" spans="2:2" ht="15">
      <c r="B7150" s="181">
        <v>52.962932606181298</v>
      </c>
    </row>
    <row r="7151" spans="2:2" ht="15">
      <c r="B7151" s="181">
        <v>30.424232187103083</v>
      </c>
    </row>
    <row r="7152" spans="2:2" ht="15">
      <c r="B7152" s="181">
        <v>9.2231330446370947</v>
      </c>
    </row>
    <row r="7153" spans="2:2" ht="15">
      <c r="B7153" s="181">
        <v>29.200899558954656</v>
      </c>
    </row>
    <row r="7154" spans="2:2" ht="15">
      <c r="B7154" s="181">
        <v>15.209087266217352</v>
      </c>
    </row>
    <row r="7155" spans="2:2" ht="15">
      <c r="B7155" s="181">
        <v>18.429757546804829</v>
      </c>
    </row>
    <row r="7156" spans="2:2" ht="15">
      <c r="B7156" s="181">
        <v>15.370618576658822</v>
      </c>
    </row>
    <row r="7157" spans="2:2" ht="15">
      <c r="B7157" s="181">
        <v>23.799134287987343</v>
      </c>
    </row>
    <row r="7158" spans="2:2" ht="15">
      <c r="B7158" s="181">
        <v>23.595403631583078</v>
      </c>
    </row>
    <row r="7159" spans="2:2" ht="15">
      <c r="B7159" s="181">
        <v>14.818501219661876</v>
      </c>
    </row>
    <row r="7160" spans="2:2" ht="15">
      <c r="B7160" s="181">
        <v>22.450016492658275</v>
      </c>
    </row>
    <row r="7161" spans="2:2" ht="15">
      <c r="B7161" s="181">
        <v>2.1139770308970904</v>
      </c>
    </row>
    <row r="7162" spans="2:2" ht="15">
      <c r="B7162" s="181">
        <v>13.539181288161153</v>
      </c>
    </row>
    <row r="7163" spans="2:2" ht="15">
      <c r="B7163" s="181">
        <v>10.525092493980853</v>
      </c>
    </row>
    <row r="7164" spans="2:2" ht="15">
      <c r="B7164" s="181">
        <v>17.583126485787634</v>
      </c>
    </row>
    <row r="7165" spans="2:2" ht="15">
      <c r="B7165" s="181">
        <v>27.634678105272922</v>
      </c>
    </row>
    <row r="7166" spans="2:2" ht="15">
      <c r="B7166" s="181">
        <v>21.594055701995014</v>
      </c>
    </row>
    <row r="7167" spans="2:2" ht="15">
      <c r="B7167" s="181">
        <v>8.4983760338550027</v>
      </c>
    </row>
    <row r="7168" spans="2:2" ht="15">
      <c r="B7168" s="181">
        <v>26.243520002168793</v>
      </c>
    </row>
    <row r="7169" spans="2:2" ht="15">
      <c r="B7169" s="181">
        <v>28.536811134547538</v>
      </c>
    </row>
    <row r="7170" spans="2:2" ht="15">
      <c r="B7170" s="181">
        <v>6.9769484383607017</v>
      </c>
    </row>
    <row r="7171" spans="2:2" ht="15">
      <c r="B7171" s="181">
        <v>10.557731068569645</v>
      </c>
    </row>
    <row r="7172" spans="2:2" ht="15">
      <c r="B7172" s="181">
        <v>19.643949113204737</v>
      </c>
    </row>
    <row r="7173" spans="2:2" ht="15">
      <c r="B7173" s="181">
        <v>17.479783398339531</v>
      </c>
    </row>
    <row r="7174" spans="2:2" ht="15">
      <c r="B7174" s="181">
        <v>9.0557669277740107</v>
      </c>
    </row>
    <row r="7175" spans="2:2" ht="15">
      <c r="B7175" s="181">
        <v>30.834312603834231</v>
      </c>
    </row>
    <row r="7176" spans="2:2" ht="15">
      <c r="B7176" s="181">
        <v>15.341496824352621</v>
      </c>
    </row>
    <row r="7177" spans="2:2" ht="15">
      <c r="B7177" s="181">
        <v>12.019392025859986</v>
      </c>
    </row>
    <row r="7178" spans="2:2" ht="15">
      <c r="B7178" s="181">
        <v>6.0136506828380991</v>
      </c>
    </row>
    <row r="7179" spans="2:2" ht="15">
      <c r="B7179" s="181">
        <v>19.247465426519238</v>
      </c>
    </row>
    <row r="7180" spans="2:2" ht="15">
      <c r="B7180" s="181">
        <v>15.595459716121699</v>
      </c>
    </row>
    <row r="7181" spans="2:2" ht="15">
      <c r="B7181" s="181">
        <v>5.2878853571137947</v>
      </c>
    </row>
    <row r="7182" spans="2:2" ht="15">
      <c r="B7182" s="181">
        <v>16.602431993717794</v>
      </c>
    </row>
    <row r="7183" spans="2:2" ht="15">
      <c r="B7183" s="181">
        <v>15.745097068632868</v>
      </c>
    </row>
    <row r="7184" spans="2:2" ht="15">
      <c r="B7184" s="181">
        <v>10.570389800288206</v>
      </c>
    </row>
    <row r="7185" spans="2:2" ht="15">
      <c r="B7185" s="181">
        <v>8.6389733880350636</v>
      </c>
    </row>
    <row r="7186" spans="2:2" ht="15">
      <c r="B7186" s="181">
        <v>18.912448093696813</v>
      </c>
    </row>
    <row r="7187" spans="2:2" ht="15">
      <c r="B7187" s="181">
        <v>20.402974039621142</v>
      </c>
    </row>
    <row r="7188" spans="2:2" ht="15">
      <c r="B7188" s="181">
        <v>12.240879423097656</v>
      </c>
    </row>
    <row r="7189" spans="2:2" ht="15">
      <c r="B7189" s="181">
        <v>18.537318681306179</v>
      </c>
    </row>
    <row r="7190" spans="2:2" ht="15">
      <c r="B7190" s="181">
        <v>14.371490067748244</v>
      </c>
    </row>
    <row r="7191" spans="2:2" ht="15">
      <c r="B7191" s="181">
        <v>17.033979998890334</v>
      </c>
    </row>
    <row r="7192" spans="2:2" ht="15">
      <c r="B7192" s="181">
        <v>47.665148548468586</v>
      </c>
    </row>
    <row r="7193" spans="2:2" ht="15">
      <c r="B7193" s="181">
        <v>23.520046810288221</v>
      </c>
    </row>
    <row r="7194" spans="2:2" ht="15">
      <c r="B7194" s="181">
        <v>12.398243455517553</v>
      </c>
    </row>
    <row r="7195" spans="2:2" ht="15">
      <c r="B7195" s="181">
        <v>32.826938166630917</v>
      </c>
    </row>
    <row r="7196" spans="2:2" ht="15">
      <c r="B7196" s="181">
        <v>21.353513036421326</v>
      </c>
    </row>
    <row r="7197" spans="2:2" ht="15">
      <c r="B7197" s="181">
        <v>25.095297154674736</v>
      </c>
    </row>
    <row r="7198" spans="2:2" ht="15">
      <c r="B7198" s="181">
        <v>35.621249007660857</v>
      </c>
    </row>
    <row r="7199" spans="2:2" ht="15">
      <c r="B7199" s="181">
        <v>22.905029410547243</v>
      </c>
    </row>
    <row r="7200" spans="2:2" ht="15">
      <c r="B7200" s="181">
        <v>14.575754174247393</v>
      </c>
    </row>
    <row r="7201" spans="2:2" ht="15">
      <c r="B7201" s="181">
        <v>12.312982778294804</v>
      </c>
    </row>
    <row r="7202" spans="2:2" ht="15">
      <c r="B7202" s="181">
        <v>18.106947065425626</v>
      </c>
    </row>
    <row r="7203" spans="2:2" ht="15">
      <c r="B7203" s="181">
        <v>9.5847786570878331</v>
      </c>
    </row>
    <row r="7204" spans="2:2" ht="15">
      <c r="B7204" s="181">
        <v>4.6333777372209468</v>
      </c>
    </row>
    <row r="7205" spans="2:2" ht="15">
      <c r="B7205" s="181">
        <v>8.5822165492931521</v>
      </c>
    </row>
    <row r="7206" spans="2:2" ht="15">
      <c r="B7206" s="181">
        <v>24.058946165126418</v>
      </c>
    </row>
    <row r="7207" spans="2:2" ht="15">
      <c r="B7207" s="181">
        <v>22.099374726499232</v>
      </c>
    </row>
    <row r="7208" spans="2:2" ht="15">
      <c r="B7208" s="181">
        <v>10.192647877925079</v>
      </c>
    </row>
    <row r="7209" spans="2:2" ht="15">
      <c r="B7209" s="181">
        <v>25.675218201775387</v>
      </c>
    </row>
    <row r="7210" spans="2:2" ht="15">
      <c r="B7210" s="181">
        <v>8.2670863841078024</v>
      </c>
    </row>
    <row r="7211" spans="2:2" ht="15">
      <c r="B7211" s="181">
        <v>12.7232764009877</v>
      </c>
    </row>
    <row r="7212" spans="2:2" ht="15">
      <c r="B7212" s="181">
        <v>17.138392495460963</v>
      </c>
    </row>
    <row r="7213" spans="2:2" ht="15">
      <c r="B7213" s="181">
        <v>5.184573254441581</v>
      </c>
    </row>
    <row r="7214" spans="2:2" ht="15">
      <c r="B7214" s="181">
        <v>6.2943520753173292</v>
      </c>
    </row>
    <row r="7215" spans="2:2" ht="15">
      <c r="B7215" s="181">
        <v>53.709762034517084</v>
      </c>
    </row>
    <row r="7216" spans="2:2" ht="15">
      <c r="B7216" s="181">
        <v>18.00455069023122</v>
      </c>
    </row>
    <row r="7217" spans="2:2" ht="15">
      <c r="B7217" s="181">
        <v>30.156907923516187</v>
      </c>
    </row>
    <row r="7218" spans="2:2" ht="15">
      <c r="B7218" s="181">
        <v>28.956396521299993</v>
      </c>
    </row>
    <row r="7219" spans="2:2" ht="15">
      <c r="B7219" s="181">
        <v>14.578378277344507</v>
      </c>
    </row>
    <row r="7220" spans="2:2" ht="15">
      <c r="B7220" s="181">
        <v>32.446331759183018</v>
      </c>
    </row>
    <row r="7221" spans="2:2" ht="15">
      <c r="B7221" s="181">
        <v>12.730483571046296</v>
      </c>
    </row>
    <row r="7222" spans="2:2" ht="15">
      <c r="B7222" s="181">
        <v>24.736619185322375</v>
      </c>
    </row>
    <row r="7223" spans="2:2" ht="15">
      <c r="B7223" s="181">
        <v>10.790206113999202</v>
      </c>
    </row>
    <row r="7224" spans="2:2" ht="15">
      <c r="B7224" s="181">
        <v>23.470952542715576</v>
      </c>
    </row>
    <row r="7225" spans="2:2" ht="15">
      <c r="B7225" s="181">
        <v>13.937343892408744</v>
      </c>
    </row>
    <row r="7226" spans="2:2" ht="15">
      <c r="B7226" s="181">
        <v>20.240949523563778</v>
      </c>
    </row>
    <row r="7227" spans="2:2" ht="15">
      <c r="B7227" s="181">
        <v>12.345844405387794</v>
      </c>
    </row>
    <row r="7228" spans="2:2" ht="15">
      <c r="B7228" s="181">
        <v>16.513459666639367</v>
      </c>
    </row>
    <row r="7229" spans="2:2" ht="15">
      <c r="B7229" s="181">
        <v>35.928381551475177</v>
      </c>
    </row>
    <row r="7230" spans="2:2" ht="15">
      <c r="B7230" s="181">
        <v>39.913962988226601</v>
      </c>
    </row>
    <row r="7231" spans="2:2" ht="15">
      <c r="B7231" s="181">
        <v>35.841002017297633</v>
      </c>
    </row>
    <row r="7232" spans="2:2" ht="15">
      <c r="B7232" s="181">
        <v>12.671101102335566</v>
      </c>
    </row>
    <row r="7233" spans="2:2" ht="15">
      <c r="B7233" s="181">
        <v>22.559744677003177</v>
      </c>
    </row>
    <row r="7234" spans="2:2" ht="15">
      <c r="B7234" s="181">
        <v>20.303015682367715</v>
      </c>
    </row>
    <row r="7235" spans="2:2" ht="15">
      <c r="B7235" s="181">
        <v>22.988868585960471</v>
      </c>
    </row>
    <row r="7236" spans="2:2" ht="15">
      <c r="B7236" s="181">
        <v>26.966285771214267</v>
      </c>
    </row>
    <row r="7237" spans="2:2" ht="15">
      <c r="B7237" s="181">
        <v>25.3246723173805</v>
      </c>
    </row>
    <row r="7238" spans="2:2" ht="15">
      <c r="B7238" s="181">
        <v>16.843397832701712</v>
      </c>
    </row>
    <row r="7239" spans="2:2" ht="15">
      <c r="B7239" s="181">
        <v>38.224594015013402</v>
      </c>
    </row>
    <row r="7240" spans="2:2" ht="15">
      <c r="B7240" s="181">
        <v>9.2679548104698188</v>
      </c>
    </row>
    <row r="7241" spans="2:2" ht="15">
      <c r="B7241" s="181">
        <v>4.0146651805369977</v>
      </c>
    </row>
    <row r="7242" spans="2:2" ht="15">
      <c r="B7242" s="181">
        <v>11.039821701212599</v>
      </c>
    </row>
    <row r="7243" spans="2:2" ht="15">
      <c r="B7243" s="181">
        <v>15.172184871589458</v>
      </c>
    </row>
    <row r="7244" spans="2:2" ht="15">
      <c r="B7244" s="181">
        <v>22.340685243682252</v>
      </c>
    </row>
    <row r="7245" spans="2:2" ht="15">
      <c r="B7245" s="181">
        <v>14.438560563043898</v>
      </c>
    </row>
    <row r="7246" spans="2:2" ht="15">
      <c r="B7246" s="181">
        <v>17.837121294521715</v>
      </c>
    </row>
    <row r="7247" spans="2:2" ht="15">
      <c r="B7247" s="181">
        <v>7.2055996655045567</v>
      </c>
    </row>
    <row r="7248" spans="2:2" ht="15">
      <c r="B7248" s="181">
        <v>4.1794391638216863</v>
      </c>
    </row>
    <row r="7249" spans="2:2" ht="15">
      <c r="B7249" s="181">
        <v>14.019556114366839</v>
      </c>
    </row>
    <row r="7250" spans="2:2" ht="15">
      <c r="B7250" s="181">
        <v>12.698253512131647</v>
      </c>
    </row>
    <row r="7251" spans="2:2" ht="15">
      <c r="B7251" s="181">
        <v>12.786896832394641</v>
      </c>
    </row>
    <row r="7252" spans="2:2" ht="15">
      <c r="B7252" s="181">
        <v>23.338327499450223</v>
      </c>
    </row>
    <row r="7253" spans="2:2" ht="15">
      <c r="B7253" s="181">
        <v>22.773394690589392</v>
      </c>
    </row>
    <row r="7254" spans="2:2" ht="15">
      <c r="B7254" s="181">
        <v>5.2371317554096848</v>
      </c>
    </row>
    <row r="7255" spans="2:2" ht="15">
      <c r="B7255" s="181">
        <v>29.190180301914186</v>
      </c>
    </row>
    <row r="7256" spans="2:2" ht="15">
      <c r="B7256" s="181">
        <v>12.063078521141508</v>
      </c>
    </row>
    <row r="7257" spans="2:2" ht="15">
      <c r="B7257" s="181">
        <v>6.5952365683755181</v>
      </c>
    </row>
    <row r="7258" spans="2:2" ht="15">
      <c r="B7258" s="181">
        <v>19.345027624561443</v>
      </c>
    </row>
    <row r="7259" spans="2:2" ht="15">
      <c r="B7259" s="181">
        <v>9.2905904568364619</v>
      </c>
    </row>
    <row r="7260" spans="2:2" ht="15">
      <c r="B7260" s="181">
        <v>26.364158422978274</v>
      </c>
    </row>
    <row r="7261" spans="2:2" ht="15">
      <c r="B7261" s="181">
        <v>21.821082035565393</v>
      </c>
    </row>
    <row r="7262" spans="2:2" ht="15">
      <c r="B7262" s="181">
        <v>15.06068542191538</v>
      </c>
    </row>
    <row r="7263" spans="2:2" ht="15">
      <c r="B7263" s="181">
        <v>26.81158915319525</v>
      </c>
    </row>
    <row r="7264" spans="2:2" ht="15">
      <c r="B7264" s="181">
        <v>9.4309401188999047</v>
      </c>
    </row>
    <row r="7265" spans="2:2" ht="15">
      <c r="B7265" s="181">
        <v>21.597738082467885</v>
      </c>
    </row>
    <row r="7266" spans="2:2" ht="15">
      <c r="B7266" s="181">
        <v>16.141400775180298</v>
      </c>
    </row>
    <row r="7267" spans="2:2" ht="15">
      <c r="B7267" s="181">
        <v>8.046285726657775</v>
      </c>
    </row>
    <row r="7268" spans="2:2" ht="15">
      <c r="B7268" s="181">
        <v>8.5360535607307018</v>
      </c>
    </row>
    <row r="7269" spans="2:2" ht="15">
      <c r="B7269" s="181">
        <v>37.292615358222861</v>
      </c>
    </row>
    <row r="7270" spans="2:2" ht="15">
      <c r="B7270" s="181">
        <v>32.228283582113924</v>
      </c>
    </row>
    <row r="7271" spans="2:2" ht="15">
      <c r="B7271" s="181">
        <v>27.788957379359175</v>
      </c>
    </row>
    <row r="7272" spans="2:2" ht="15">
      <c r="B7272" s="181">
        <v>15.061192014171771</v>
      </c>
    </row>
    <row r="7273" spans="2:2" ht="15">
      <c r="B7273" s="181">
        <v>25.10886387600506</v>
      </c>
    </row>
    <row r="7274" spans="2:2" ht="15">
      <c r="B7274" s="181">
        <v>22.11592742188305</v>
      </c>
    </row>
    <row r="7275" spans="2:2" ht="15">
      <c r="B7275" s="181">
        <v>19.618432619463096</v>
      </c>
    </row>
    <row r="7276" spans="2:2" ht="15">
      <c r="B7276" s="181">
        <v>8.3275558629351547</v>
      </c>
    </row>
    <row r="7277" spans="2:2" ht="15">
      <c r="B7277" s="181">
        <v>15.010925024914949</v>
      </c>
    </row>
    <row r="7278" spans="2:2" ht="15">
      <c r="B7278" s="181">
        <v>14.649888569088358</v>
      </c>
    </row>
    <row r="7279" spans="2:2" ht="15">
      <c r="B7279" s="181">
        <v>18.645437994544835</v>
      </c>
    </row>
    <row r="7280" spans="2:2" ht="15">
      <c r="B7280" s="181">
        <v>23.033000381620106</v>
      </c>
    </row>
    <row r="7281" spans="2:2" ht="15">
      <c r="B7281" s="181">
        <v>12.558217095795133</v>
      </c>
    </row>
    <row r="7282" spans="2:2" ht="15">
      <c r="B7282" s="181">
        <v>19.537241204892169</v>
      </c>
    </row>
    <row r="7283" spans="2:2" ht="15">
      <c r="B7283" s="181">
        <v>13.834358398284872</v>
      </c>
    </row>
    <row r="7284" spans="2:2" ht="15">
      <c r="B7284" s="181">
        <v>32.723582820968502</v>
      </c>
    </row>
    <row r="7285" spans="2:2" ht="15">
      <c r="B7285" s="181">
        <v>7.8271423442706931</v>
      </c>
    </row>
    <row r="7286" spans="2:2" ht="15">
      <c r="B7286" s="181">
        <v>25.266671212710513</v>
      </c>
    </row>
    <row r="7287" spans="2:2" ht="15">
      <c r="B7287" s="181">
        <v>25.775748624082912</v>
      </c>
    </row>
    <row r="7288" spans="2:2" ht="15">
      <c r="B7288" s="181">
        <v>12.105929406969878</v>
      </c>
    </row>
    <row r="7289" spans="2:2" ht="15">
      <c r="B7289" s="181">
        <v>19.985652320519879</v>
      </c>
    </row>
    <row r="7290" spans="2:2" ht="15">
      <c r="B7290" s="181">
        <v>17.0158872288964</v>
      </c>
    </row>
    <row r="7291" spans="2:2" ht="15">
      <c r="B7291" s="181">
        <v>12.063979140122795</v>
      </c>
    </row>
    <row r="7292" spans="2:2" ht="15">
      <c r="B7292" s="181">
        <v>30.918944927392332</v>
      </c>
    </row>
    <row r="7293" spans="2:2" ht="15">
      <c r="B7293" s="181">
        <v>22.552338505425528</v>
      </c>
    </row>
    <row r="7294" spans="2:2" ht="15">
      <c r="B7294" s="181">
        <v>17.674979627511188</v>
      </c>
    </row>
    <row r="7295" spans="2:2" ht="15">
      <c r="B7295" s="181">
        <v>7.1251242632390692</v>
      </c>
    </row>
    <row r="7296" spans="2:2" ht="15">
      <c r="B7296" s="181">
        <v>13.76991464300843</v>
      </c>
    </row>
    <row r="7297" spans="2:2" ht="15">
      <c r="B7297" s="181">
        <v>39.233275697670734</v>
      </c>
    </row>
    <row r="7298" spans="2:2" ht="15">
      <c r="B7298" s="181">
        <v>19.473581860538214</v>
      </c>
    </row>
    <row r="7299" spans="2:2" ht="15">
      <c r="B7299" s="181">
        <v>11.204460472268055</v>
      </c>
    </row>
    <row r="7300" spans="2:2" ht="15">
      <c r="B7300" s="181">
        <v>22.704797538496063</v>
      </c>
    </row>
    <row r="7301" spans="2:2" ht="15">
      <c r="B7301" s="181">
        <v>37.903556228658402</v>
      </c>
    </row>
    <row r="7302" spans="2:2" ht="15">
      <c r="B7302" s="181">
        <v>33.554660293196704</v>
      </c>
    </row>
    <row r="7303" spans="2:2" ht="15">
      <c r="B7303" s="181">
        <v>7.5161104254589466</v>
      </c>
    </row>
    <row r="7304" spans="2:2" ht="15">
      <c r="B7304" s="181">
        <v>22.628387962886038</v>
      </c>
    </row>
    <row r="7305" spans="2:2" ht="15">
      <c r="B7305" s="181">
        <v>13.917773890813592</v>
      </c>
    </row>
    <row r="7306" spans="2:2" ht="15">
      <c r="B7306" s="181">
        <v>35.526755954720755</v>
      </c>
    </row>
    <row r="7307" spans="2:2" ht="15">
      <c r="B7307" s="181">
        <v>11.659476517278854</v>
      </c>
    </row>
    <row r="7308" spans="2:2" ht="15">
      <c r="B7308" s="181">
        <v>15.710849397795414</v>
      </c>
    </row>
    <row r="7309" spans="2:2" ht="15">
      <c r="B7309" s="181">
        <v>18.545959557942183</v>
      </c>
    </row>
    <row r="7310" spans="2:2" ht="15">
      <c r="B7310" s="181">
        <v>11.457122209330493</v>
      </c>
    </row>
    <row r="7311" spans="2:2" ht="15">
      <c r="B7311" s="181">
        <v>24.06251568663091</v>
      </c>
    </row>
    <row r="7312" spans="2:2" ht="15">
      <c r="B7312" s="181">
        <v>16.274917859421553</v>
      </c>
    </row>
    <row r="7313" spans="2:2" ht="15">
      <c r="B7313" s="181">
        <v>24.20332971097578</v>
      </c>
    </row>
    <row r="7314" spans="2:2" ht="15">
      <c r="B7314" s="181">
        <v>14.83876173113446</v>
      </c>
    </row>
    <row r="7315" spans="2:2" ht="15">
      <c r="B7315" s="181">
        <v>9.4622608825014431</v>
      </c>
    </row>
    <row r="7316" spans="2:2" ht="15">
      <c r="B7316" s="181">
        <v>13.254216318112437</v>
      </c>
    </row>
    <row r="7317" spans="2:2" ht="15">
      <c r="B7317" s="181">
        <v>16.98971242823616</v>
      </c>
    </row>
    <row r="7318" spans="2:2" ht="15">
      <c r="B7318" s="181">
        <v>23.10898654983664</v>
      </c>
    </row>
    <row r="7319" spans="2:2" ht="15">
      <c r="B7319" s="181">
        <v>14.865238080678939</v>
      </c>
    </row>
    <row r="7320" spans="2:2" ht="15">
      <c r="B7320" s="181">
        <v>4.5294681753315658</v>
      </c>
    </row>
    <row r="7321" spans="2:2" ht="15">
      <c r="B7321" s="181">
        <v>43.051986267852854</v>
      </c>
    </row>
    <row r="7322" spans="2:2" ht="15">
      <c r="B7322" s="181">
        <v>43.208494276119175</v>
      </c>
    </row>
    <row r="7323" spans="2:2" ht="15">
      <c r="B7323" s="181">
        <v>24.040696826466764</v>
      </c>
    </row>
    <row r="7324" spans="2:2" ht="15">
      <c r="B7324" s="181">
        <v>51.218144745645027</v>
      </c>
    </row>
    <row r="7325" spans="2:2" ht="15">
      <c r="B7325" s="181">
        <v>12.43324485264292</v>
      </c>
    </row>
    <row r="7326" spans="2:2" ht="15">
      <c r="B7326" s="181">
        <v>5.6817114926787617</v>
      </c>
    </row>
    <row r="7327" spans="2:2" ht="15">
      <c r="B7327" s="181">
        <v>16.864250212999444</v>
      </c>
    </row>
    <row r="7328" spans="2:2" ht="15">
      <c r="B7328" s="181">
        <v>16.627498145269907</v>
      </c>
    </row>
    <row r="7329" spans="2:2" ht="15">
      <c r="B7329" s="181">
        <v>6.1631171333532206</v>
      </c>
    </row>
    <row r="7330" spans="2:2" ht="15">
      <c r="B7330" s="181">
        <v>19.118360957519279</v>
      </c>
    </row>
    <row r="7331" spans="2:2" ht="15">
      <c r="B7331" s="181">
        <v>47.907072151955795</v>
      </c>
    </row>
    <row r="7332" spans="2:2" ht="15">
      <c r="B7332" s="181">
        <v>19.086197761256294</v>
      </c>
    </row>
    <row r="7333" spans="2:2" ht="15">
      <c r="B7333" s="181">
        <v>24.186479838754558</v>
      </c>
    </row>
    <row r="7334" spans="2:2" ht="15">
      <c r="B7334" s="181">
        <v>35.916814009332789</v>
      </c>
    </row>
    <row r="7335" spans="2:2" ht="15">
      <c r="B7335" s="181">
        <v>23.431976343854434</v>
      </c>
    </row>
    <row r="7336" spans="2:2" ht="15">
      <c r="B7336" s="181">
        <v>37.424269648466392</v>
      </c>
    </row>
    <row r="7337" spans="2:2" ht="15">
      <c r="B7337" s="181">
        <v>33.37376559172769</v>
      </c>
    </row>
    <row r="7338" spans="2:2" ht="15">
      <c r="B7338" s="181">
        <v>9.1604118944292843</v>
      </c>
    </row>
    <row r="7339" spans="2:2" ht="15">
      <c r="B7339" s="181">
        <v>11.571748912227054</v>
      </c>
    </row>
    <row r="7340" spans="2:2" ht="15">
      <c r="B7340" s="181">
        <v>37.716471198372048</v>
      </c>
    </row>
    <row r="7341" spans="2:2" ht="15">
      <c r="B7341" s="181">
        <v>32.595226105057115</v>
      </c>
    </row>
    <row r="7342" spans="2:2" ht="15">
      <c r="B7342" s="181">
        <v>28.123254421396989</v>
      </c>
    </row>
    <row r="7343" spans="2:2" ht="15">
      <c r="B7343" s="181">
        <v>3.7061115216771405</v>
      </c>
    </row>
    <row r="7344" spans="2:2" ht="15">
      <c r="B7344" s="181">
        <v>13.33709663966942</v>
      </c>
    </row>
    <row r="7345" spans="2:2" ht="15">
      <c r="B7345" s="181">
        <v>14.537671738672854</v>
      </c>
    </row>
    <row r="7346" spans="2:2" ht="15">
      <c r="B7346" s="181">
        <v>7.1805369182583973</v>
      </c>
    </row>
    <row r="7347" spans="2:2" ht="15">
      <c r="B7347" s="181">
        <v>12.977707136258662</v>
      </c>
    </row>
    <row r="7348" spans="2:2" ht="15">
      <c r="B7348" s="181">
        <v>11.869116719655569</v>
      </c>
    </row>
    <row r="7349" spans="2:2" ht="15">
      <c r="B7349" s="181">
        <v>16.792334559070724</v>
      </c>
    </row>
    <row r="7350" spans="2:2" ht="15">
      <c r="B7350" s="181">
        <v>15.245777463357298</v>
      </c>
    </row>
    <row r="7351" spans="2:2" ht="15">
      <c r="B7351" s="181">
        <v>11.937781292460835</v>
      </c>
    </row>
    <row r="7352" spans="2:2" ht="15">
      <c r="B7352" s="181">
        <v>25.280575438745984</v>
      </c>
    </row>
    <row r="7353" spans="2:2" ht="15">
      <c r="B7353" s="181">
        <v>19.357932764392697</v>
      </c>
    </row>
    <row r="7354" spans="2:2" ht="15">
      <c r="B7354" s="181">
        <v>18.144364998447337</v>
      </c>
    </row>
    <row r="7355" spans="2:2" ht="15">
      <c r="B7355" s="181">
        <v>16.207800713435141</v>
      </c>
    </row>
    <row r="7356" spans="2:2" ht="15">
      <c r="B7356" s="181">
        <v>15.370288292033697</v>
      </c>
    </row>
    <row r="7357" spans="2:2" ht="15">
      <c r="B7357" s="181">
        <v>34.266908474532983</v>
      </c>
    </row>
    <row r="7358" spans="2:2" ht="15">
      <c r="B7358" s="181">
        <v>12.636630560935846</v>
      </c>
    </row>
    <row r="7359" spans="2:2" ht="15">
      <c r="B7359" s="181">
        <v>21.315760114296548</v>
      </c>
    </row>
    <row r="7360" spans="2:2" ht="15">
      <c r="B7360" s="181">
        <v>25.451071437659273</v>
      </c>
    </row>
    <row r="7361" spans="2:2" ht="15">
      <c r="B7361" s="181">
        <v>12.378119580540691</v>
      </c>
    </row>
    <row r="7362" spans="2:2" ht="15">
      <c r="B7362" s="181">
        <v>46.530847185089698</v>
      </c>
    </row>
    <row r="7363" spans="2:2" ht="15">
      <c r="B7363" s="181">
        <v>18.118147925622335</v>
      </c>
    </row>
    <row r="7364" spans="2:2" ht="15">
      <c r="B7364" s="181">
        <v>26.3101152289148</v>
      </c>
    </row>
    <row r="7365" spans="2:2" ht="15">
      <c r="B7365" s="181">
        <v>49.309368052044078</v>
      </c>
    </row>
    <row r="7366" spans="2:2" ht="15">
      <c r="B7366" s="181">
        <v>33.18434679473836</v>
      </c>
    </row>
    <row r="7367" spans="2:2" ht="15">
      <c r="B7367" s="181">
        <v>49.635206926171655</v>
      </c>
    </row>
    <row r="7368" spans="2:2" ht="15">
      <c r="B7368" s="181">
        <v>20.479700383224465</v>
      </c>
    </row>
    <row r="7369" spans="2:2" ht="15">
      <c r="B7369" s="181">
        <v>9.6798746644260625</v>
      </c>
    </row>
    <row r="7370" spans="2:2" ht="15">
      <c r="B7370" s="181">
        <v>8.9225595643997533</v>
      </c>
    </row>
    <row r="7371" spans="2:2" ht="15">
      <c r="B7371" s="181">
        <v>19.45333679533174</v>
      </c>
    </row>
    <row r="7372" spans="2:2" ht="15">
      <c r="B7372" s="181">
        <v>12.951810534941544</v>
      </c>
    </row>
    <row r="7373" spans="2:2" ht="15">
      <c r="B7373" s="181">
        <v>7.896327260635303</v>
      </c>
    </row>
    <row r="7374" spans="2:2" ht="15">
      <c r="B7374" s="181">
        <v>9.4917695945794485</v>
      </c>
    </row>
    <row r="7375" spans="2:2" ht="15">
      <c r="B7375" s="181">
        <v>20.098453020065911</v>
      </c>
    </row>
    <row r="7376" spans="2:2" ht="15">
      <c r="B7376" s="181">
        <v>16.381434781800529</v>
      </c>
    </row>
    <row r="7377" spans="2:2" ht="15">
      <c r="B7377" s="181">
        <v>16.537846961150585</v>
      </c>
    </row>
    <row r="7378" spans="2:2" ht="15">
      <c r="B7378" s="181">
        <v>8.6274834299474019</v>
      </c>
    </row>
    <row r="7379" spans="2:2" ht="15">
      <c r="B7379" s="181">
        <v>24.361711104380735</v>
      </c>
    </row>
    <row r="7380" spans="2:2" ht="15">
      <c r="B7380" s="181">
        <v>13.376273865851282</v>
      </c>
    </row>
    <row r="7381" spans="2:2" ht="15">
      <c r="B7381" s="181">
        <v>30.83231710734232</v>
      </c>
    </row>
    <row r="7382" spans="2:2" ht="15">
      <c r="B7382" s="181">
        <v>26.241061208599852</v>
      </c>
    </row>
    <row r="7383" spans="2:2" ht="15">
      <c r="B7383" s="181">
        <v>18.409039771567951</v>
      </c>
    </row>
    <row r="7384" spans="2:2" ht="15">
      <c r="B7384" s="181">
        <v>9.7307158172737971</v>
      </c>
    </row>
    <row r="7385" spans="2:2" ht="15">
      <c r="B7385" s="181">
        <v>18.115662655393837</v>
      </c>
    </row>
    <row r="7386" spans="2:2" ht="15">
      <c r="B7386" s="181">
        <v>23.964635209370797</v>
      </c>
    </row>
    <row r="7387" spans="2:2" ht="15">
      <c r="B7387" s="181">
        <v>52.311792865428352</v>
      </c>
    </row>
    <row r="7388" spans="2:2" ht="15">
      <c r="B7388" s="181">
        <v>18.330969912414481</v>
      </c>
    </row>
    <row r="7389" spans="2:2" ht="15">
      <c r="B7389" s="181">
        <v>24.795214135877941</v>
      </c>
    </row>
    <row r="7390" spans="2:2" ht="15">
      <c r="B7390" s="181">
        <v>6.0062218130835641</v>
      </c>
    </row>
    <row r="7391" spans="2:2" ht="15">
      <c r="B7391" s="181">
        <v>18.782990107660126</v>
      </c>
    </row>
    <row r="7392" spans="2:2" ht="15">
      <c r="B7392" s="181">
        <v>13.016643923037817</v>
      </c>
    </row>
    <row r="7393" spans="2:2" ht="15">
      <c r="B7393" s="181">
        <v>19.598783826334582</v>
      </c>
    </row>
    <row r="7394" spans="2:2" ht="15">
      <c r="B7394" s="181">
        <v>17.980019415122978</v>
      </c>
    </row>
    <row r="7395" spans="2:2" ht="15">
      <c r="B7395" s="181">
        <v>23.003235441857683</v>
      </c>
    </row>
    <row r="7396" spans="2:2" ht="15">
      <c r="B7396" s="181">
        <v>33.723301607362295</v>
      </c>
    </row>
    <row r="7397" spans="2:2" ht="15">
      <c r="B7397" s="181">
        <v>17.482142498891346</v>
      </c>
    </row>
    <row r="7398" spans="2:2" ht="15">
      <c r="B7398" s="181">
        <v>9.3515212943872665</v>
      </c>
    </row>
    <row r="7399" spans="2:2" ht="15">
      <c r="B7399" s="181">
        <v>15.486053547629187</v>
      </c>
    </row>
    <row r="7400" spans="2:2" ht="15">
      <c r="B7400" s="181">
        <v>12.948335537629026</v>
      </c>
    </row>
    <row r="7401" spans="2:2" ht="15">
      <c r="B7401" s="181">
        <v>35.711830016168641</v>
      </c>
    </row>
    <row r="7402" spans="2:2" ht="15">
      <c r="B7402" s="181">
        <v>13.862465069663624</v>
      </c>
    </row>
    <row r="7403" spans="2:2" ht="15">
      <c r="B7403" s="181">
        <v>27.173126010468085</v>
      </c>
    </row>
    <row r="7404" spans="2:2" ht="15">
      <c r="B7404" s="181">
        <v>24.805610834997086</v>
      </c>
    </row>
    <row r="7405" spans="2:2" ht="15">
      <c r="B7405" s="181">
        <v>17.211971344201608</v>
      </c>
    </row>
    <row r="7406" spans="2:2" ht="15">
      <c r="B7406" s="181">
        <v>18.409820973340416</v>
      </c>
    </row>
    <row r="7407" spans="2:2" ht="15">
      <c r="B7407" s="181">
        <v>11.204917423366826</v>
      </c>
    </row>
    <row r="7408" spans="2:2" ht="15">
      <c r="B7408" s="181">
        <v>30.737037881130799</v>
      </c>
    </row>
    <row r="7409" spans="2:2" ht="15">
      <c r="B7409" s="181">
        <v>9.5567129410960572</v>
      </c>
    </row>
    <row r="7410" spans="2:2" ht="15">
      <c r="B7410" s="181">
        <v>16.02124044035088</v>
      </c>
    </row>
    <row r="7411" spans="2:2" ht="15">
      <c r="B7411" s="181">
        <v>28.281342693047797</v>
      </c>
    </row>
    <row r="7412" spans="2:2" ht="15">
      <c r="B7412" s="181">
        <v>35.739279686383718</v>
      </c>
    </row>
    <row r="7413" spans="2:2" ht="15">
      <c r="B7413" s="181">
        <v>28.755561050932545</v>
      </c>
    </row>
    <row r="7414" spans="2:2" ht="15">
      <c r="B7414" s="181">
        <v>8.095361880654389</v>
      </c>
    </row>
    <row r="7415" spans="2:2" ht="15">
      <c r="B7415" s="181">
        <v>8.0571777368410444</v>
      </c>
    </row>
    <row r="7416" spans="2:2" ht="15">
      <c r="B7416" s="181">
        <v>13.73162018279327</v>
      </c>
    </row>
    <row r="7417" spans="2:2" ht="15">
      <c r="B7417" s="181">
        <v>36.155564114539381</v>
      </c>
    </row>
    <row r="7418" spans="2:2" ht="15">
      <c r="B7418" s="181">
        <v>24.604351014940605</v>
      </c>
    </row>
    <row r="7419" spans="2:2" ht="15">
      <c r="B7419" s="181">
        <v>12.957048166558312</v>
      </c>
    </row>
    <row r="7420" spans="2:2" ht="15">
      <c r="B7420" s="181">
        <v>13.25959275884439</v>
      </c>
    </row>
    <row r="7421" spans="2:2" ht="15">
      <c r="B7421" s="181">
        <v>7.9197438651385355</v>
      </c>
    </row>
    <row r="7422" spans="2:2" ht="15">
      <c r="B7422" s="181">
        <v>46.966555787735317</v>
      </c>
    </row>
    <row r="7423" spans="2:2" ht="15">
      <c r="B7423" s="181">
        <v>12.302613986064621</v>
      </c>
    </row>
    <row r="7424" spans="2:2" ht="15">
      <c r="B7424" s="181">
        <v>33.320663853156525</v>
      </c>
    </row>
    <row r="7425" spans="2:2" ht="15">
      <c r="B7425" s="181">
        <v>21.922695606462185</v>
      </c>
    </row>
    <row r="7426" spans="2:2" ht="15">
      <c r="B7426" s="181">
        <v>20.694361031422929</v>
      </c>
    </row>
    <row r="7427" spans="2:2" ht="15">
      <c r="B7427" s="181">
        <v>6.5619570477797078</v>
      </c>
    </row>
    <row r="7428" spans="2:2" ht="15">
      <c r="B7428" s="181">
        <v>23.962013880673481</v>
      </c>
    </row>
    <row r="7429" spans="2:2" ht="15">
      <c r="B7429" s="181">
        <v>32.152087520527616</v>
      </c>
    </row>
    <row r="7430" spans="2:2" ht="15">
      <c r="B7430" s="181">
        <v>36.744130566562355</v>
      </c>
    </row>
    <row r="7431" spans="2:2" ht="15">
      <c r="B7431" s="181">
        <v>24.800850356913365</v>
      </c>
    </row>
    <row r="7432" spans="2:2" ht="15">
      <c r="B7432" s="181">
        <v>35.349096776709565</v>
      </c>
    </row>
    <row r="7433" spans="2:2" ht="15">
      <c r="B7433" s="181">
        <v>29.05407785434479</v>
      </c>
    </row>
    <row r="7434" spans="2:2" ht="15">
      <c r="B7434" s="181">
        <v>16.536260091693904</v>
      </c>
    </row>
    <row r="7435" spans="2:2" ht="15">
      <c r="B7435" s="181">
        <v>34.135978710707057</v>
      </c>
    </row>
    <row r="7436" spans="2:2" ht="15">
      <c r="B7436" s="181">
        <v>15.440443139364318</v>
      </c>
    </row>
    <row r="7437" spans="2:2" ht="15">
      <c r="B7437" s="181">
        <v>9.0011618037589223</v>
      </c>
    </row>
    <row r="7438" spans="2:2" ht="15">
      <c r="B7438" s="181">
        <v>22.399560022084522</v>
      </c>
    </row>
    <row r="7439" spans="2:2" ht="15">
      <c r="B7439" s="181">
        <v>10.270473530667411</v>
      </c>
    </row>
    <row r="7440" spans="2:2" ht="15">
      <c r="B7440" s="181">
        <v>14.602183783025618</v>
      </c>
    </row>
    <row r="7441" spans="2:2" ht="15">
      <c r="B7441" s="181">
        <v>18.007596827541942</v>
      </c>
    </row>
    <row r="7442" spans="2:2" ht="15">
      <c r="B7442" s="181">
        <v>27.397513397020003</v>
      </c>
    </row>
    <row r="7443" spans="2:2" ht="15">
      <c r="B7443" s="181">
        <v>26.689123107034604</v>
      </c>
    </row>
    <row r="7444" spans="2:2" ht="15">
      <c r="B7444" s="181">
        <v>17.825160104839362</v>
      </c>
    </row>
    <row r="7445" spans="2:2" ht="15">
      <c r="B7445" s="181">
        <v>12.763690035430351</v>
      </c>
    </row>
    <row r="7446" spans="2:2" ht="15">
      <c r="B7446" s="181">
        <v>33.786433376519895</v>
      </c>
    </row>
    <row r="7447" spans="2:2" ht="15">
      <c r="B7447" s="181">
        <v>22.857847693063821</v>
      </c>
    </row>
    <row r="7448" spans="2:2" ht="15">
      <c r="B7448" s="181">
        <v>12.495030161051918</v>
      </c>
    </row>
    <row r="7449" spans="2:2" ht="15">
      <c r="B7449" s="181">
        <v>14.471032079313847</v>
      </c>
    </row>
    <row r="7450" spans="2:2" ht="15">
      <c r="B7450" s="181">
        <v>17.572610132069759</v>
      </c>
    </row>
    <row r="7451" spans="2:2" ht="15">
      <c r="B7451" s="181">
        <v>55.68934749155644</v>
      </c>
    </row>
    <row r="7452" spans="2:2" ht="15">
      <c r="B7452" s="181">
        <v>12.079054496096026</v>
      </c>
    </row>
    <row r="7453" spans="2:2" ht="15">
      <c r="B7453" s="181">
        <v>18.251484987641152</v>
      </c>
    </row>
    <row r="7454" spans="2:2" ht="15">
      <c r="B7454" s="181">
        <v>29.172160844344717</v>
      </c>
    </row>
    <row r="7455" spans="2:2" ht="15">
      <c r="B7455" s="181">
        <v>20.402397686225502</v>
      </c>
    </row>
    <row r="7456" spans="2:2" ht="15">
      <c r="B7456" s="181">
        <v>16.548245277765808</v>
      </c>
    </row>
    <row r="7457" spans="2:2" ht="15">
      <c r="B7457" s="181">
        <v>24.320836712407331</v>
      </c>
    </row>
    <row r="7458" spans="2:2" ht="15">
      <c r="B7458" s="181">
        <v>13.053086951247062</v>
      </c>
    </row>
    <row r="7459" spans="2:2" ht="15">
      <c r="B7459" s="181">
        <v>26.025504638101225</v>
      </c>
    </row>
    <row r="7460" spans="2:2" ht="15">
      <c r="B7460" s="181">
        <v>16.599950663649409</v>
      </c>
    </row>
    <row r="7461" spans="2:2" ht="15">
      <c r="B7461" s="181">
        <v>16.319199288934513</v>
      </c>
    </row>
    <row r="7462" spans="2:2" ht="15">
      <c r="B7462" s="181">
        <v>13.048556317813599</v>
      </c>
    </row>
    <row r="7463" spans="2:2" ht="15">
      <c r="B7463" s="181">
        <v>14.33448703334351</v>
      </c>
    </row>
    <row r="7464" spans="2:2" ht="15">
      <c r="B7464" s="181">
        <v>10.587798741751786</v>
      </c>
    </row>
    <row r="7465" spans="2:2" ht="15">
      <c r="B7465" s="181">
        <v>23.347308894537466</v>
      </c>
    </row>
    <row r="7466" spans="2:2" ht="15">
      <c r="B7466" s="181">
        <v>18.498106589271003</v>
      </c>
    </row>
    <row r="7467" spans="2:2" ht="15">
      <c r="B7467" s="181">
        <v>16.84269607313114</v>
      </c>
    </row>
    <row r="7468" spans="2:2" ht="15">
      <c r="B7468" s="181">
        <v>22.114143375306732</v>
      </c>
    </row>
    <row r="7469" spans="2:2" ht="15">
      <c r="B7469" s="181">
        <v>19.04567052054108</v>
      </c>
    </row>
    <row r="7470" spans="2:2" ht="15">
      <c r="B7470" s="181">
        <v>15.640883247292798</v>
      </c>
    </row>
    <row r="7471" spans="2:2" ht="15">
      <c r="B7471" s="181">
        <v>59.159322598328153</v>
      </c>
    </row>
    <row r="7472" spans="2:2" ht="15">
      <c r="B7472" s="181">
        <v>28.249188791400137</v>
      </c>
    </row>
    <row r="7473" spans="2:2" ht="15">
      <c r="B7473" s="181">
        <v>12.31736595085998</v>
      </c>
    </row>
    <row r="7474" spans="2:2" ht="15">
      <c r="B7474" s="181">
        <v>27.109010525827724</v>
      </c>
    </row>
    <row r="7475" spans="2:2" ht="15">
      <c r="B7475" s="181">
        <v>25.748629781445256</v>
      </c>
    </row>
    <row r="7476" spans="2:2" ht="15">
      <c r="B7476" s="181">
        <v>3.2134876304388835</v>
      </c>
    </row>
    <row r="7477" spans="2:2" ht="15">
      <c r="B7477" s="181">
        <v>18.045520878704238</v>
      </c>
    </row>
    <row r="7478" spans="2:2" ht="15">
      <c r="B7478" s="181">
        <v>19.579372792260003</v>
      </c>
    </row>
    <row r="7479" spans="2:2" ht="15">
      <c r="B7479" s="181">
        <v>46.088430270699561</v>
      </c>
    </row>
    <row r="7480" spans="2:2" ht="15">
      <c r="B7480" s="181">
        <v>17.148631346756567</v>
      </c>
    </row>
    <row r="7481" spans="2:2" ht="15">
      <c r="B7481" s="181">
        <v>17.548051478820533</v>
      </c>
    </row>
    <row r="7482" spans="2:2" ht="15">
      <c r="B7482" s="181">
        <v>13.894104034335433</v>
      </c>
    </row>
    <row r="7483" spans="2:2" ht="15">
      <c r="B7483" s="181">
        <v>24.075389073844686</v>
      </c>
    </row>
    <row r="7484" spans="2:2" ht="15">
      <c r="B7484" s="181">
        <v>19.391076524533954</v>
      </c>
    </row>
    <row r="7485" spans="2:2" ht="15">
      <c r="B7485" s="181">
        <v>25.130967422104643</v>
      </c>
    </row>
    <row r="7486" spans="2:2" ht="15">
      <c r="B7486" s="181">
        <v>26.178056338402602</v>
      </c>
    </row>
    <row r="7487" spans="2:2" ht="15">
      <c r="B7487" s="181">
        <v>17.868955524826859</v>
      </c>
    </row>
    <row r="7488" spans="2:2" ht="15">
      <c r="B7488" s="181">
        <v>19.117744879204821</v>
      </c>
    </row>
    <row r="7489" spans="2:2" ht="15">
      <c r="B7489" s="181">
        <v>23.153596242858193</v>
      </c>
    </row>
    <row r="7490" spans="2:2" ht="15">
      <c r="B7490" s="181">
        <v>14.959553210511563</v>
      </c>
    </row>
    <row r="7491" spans="2:2" ht="15">
      <c r="B7491" s="181">
        <v>16.598727039617639</v>
      </c>
    </row>
    <row r="7492" spans="2:2" ht="15">
      <c r="B7492" s="181">
        <v>9.2005276384197252</v>
      </c>
    </row>
    <row r="7493" spans="2:2" ht="15">
      <c r="B7493" s="181">
        <v>10.138740933861754</v>
      </c>
    </row>
    <row r="7494" spans="2:2" ht="15">
      <c r="B7494" s="181">
        <v>13.107818045937229</v>
      </c>
    </row>
    <row r="7495" spans="2:2" ht="15">
      <c r="B7495" s="181">
        <v>33.115175002861946</v>
      </c>
    </row>
    <row r="7496" spans="2:2" ht="15">
      <c r="B7496" s="181">
        <v>11.433251055079088</v>
      </c>
    </row>
    <row r="7497" spans="2:2" ht="15">
      <c r="B7497" s="181">
        <v>11.665661783669563</v>
      </c>
    </row>
    <row r="7498" spans="2:2" ht="15">
      <c r="B7498" s="181">
        <v>11.478051555602207</v>
      </c>
    </row>
    <row r="7499" spans="2:2" ht="15">
      <c r="B7499" s="181">
        <v>16.973097752004438</v>
      </c>
    </row>
    <row r="7500" spans="2:2" ht="15">
      <c r="B7500" s="181">
        <v>14.543220155147157</v>
      </c>
    </row>
    <row r="7501" spans="2:2" ht="15">
      <c r="B7501" s="181">
        <v>12.166944347915003</v>
      </c>
    </row>
    <row r="7502" spans="2:2" ht="15">
      <c r="B7502" s="181">
        <v>13.555871231591862</v>
      </c>
    </row>
    <row r="7503" spans="2:2" ht="15">
      <c r="B7503" s="181">
        <v>15.64831662414819</v>
      </c>
    </row>
    <row r="7504" spans="2:2" ht="15">
      <c r="B7504" s="181">
        <v>17.878908817903589</v>
      </c>
    </row>
    <row r="7505" spans="2:2" ht="15">
      <c r="B7505" s="181">
        <v>23.885557566473409</v>
      </c>
    </row>
    <row r="7506" spans="2:2" ht="15">
      <c r="B7506" s="181">
        <v>24.199576067520024</v>
      </c>
    </row>
    <row r="7507" spans="2:2" ht="15">
      <c r="B7507" s="181">
        <v>17.504355460588197</v>
      </c>
    </row>
    <row r="7508" spans="2:2" ht="15">
      <c r="B7508" s="181">
        <v>19.588801546857859</v>
      </c>
    </row>
    <row r="7509" spans="2:2" ht="15">
      <c r="B7509" s="181">
        <v>7.6448015747865181</v>
      </c>
    </row>
    <row r="7510" spans="2:2" ht="15">
      <c r="B7510" s="181">
        <v>16.273102083735132</v>
      </c>
    </row>
    <row r="7511" spans="2:2" ht="15">
      <c r="B7511" s="181">
        <v>12.897200959972361</v>
      </c>
    </row>
    <row r="7512" spans="2:2" ht="15">
      <c r="B7512" s="181">
        <v>9.6895160257011703</v>
      </c>
    </row>
    <row r="7513" spans="2:2" ht="15">
      <c r="B7513" s="181">
        <v>14.294669782355175</v>
      </c>
    </row>
    <row r="7514" spans="2:2" ht="15">
      <c r="B7514" s="181">
        <v>22.83473211465164</v>
      </c>
    </row>
    <row r="7515" spans="2:2" ht="15">
      <c r="B7515" s="181">
        <v>10.803603094434569</v>
      </c>
    </row>
    <row r="7516" spans="2:2" ht="15">
      <c r="B7516" s="181">
        <v>24.087489073999741</v>
      </c>
    </row>
    <row r="7517" spans="2:2" ht="15">
      <c r="B7517" s="181">
        <v>27.575877424320783</v>
      </c>
    </row>
    <row r="7518" spans="2:2" ht="15">
      <c r="B7518" s="181">
        <v>12.146636512565603</v>
      </c>
    </row>
    <row r="7519" spans="2:2" ht="15">
      <c r="B7519" s="181">
        <v>7.6372839290085581</v>
      </c>
    </row>
    <row r="7520" spans="2:2" ht="15">
      <c r="B7520" s="181">
        <v>26.148887514207445</v>
      </c>
    </row>
    <row r="7521" spans="2:2" ht="15">
      <c r="B7521" s="181">
        <v>14.080289256157576</v>
      </c>
    </row>
    <row r="7522" spans="2:2" ht="15">
      <c r="B7522" s="181">
        <v>16.966244219699249</v>
      </c>
    </row>
    <row r="7523" spans="2:2" ht="15">
      <c r="B7523" s="181">
        <v>8.7829312627776037</v>
      </c>
    </row>
    <row r="7524" spans="2:2" ht="15">
      <c r="B7524" s="181">
        <v>28.302116491849901</v>
      </c>
    </row>
    <row r="7525" spans="2:2" ht="15">
      <c r="B7525" s="181">
        <v>10.060938046340572</v>
      </c>
    </row>
    <row r="7526" spans="2:2" ht="15">
      <c r="B7526" s="181">
        <v>21.606084930276811</v>
      </c>
    </row>
    <row r="7527" spans="2:2" ht="15">
      <c r="B7527" s="181">
        <v>10.498495741839372</v>
      </c>
    </row>
    <row r="7528" spans="2:2" ht="15">
      <c r="B7528" s="181">
        <v>14.702858959508738</v>
      </c>
    </row>
    <row r="7529" spans="2:2" ht="15">
      <c r="B7529" s="181">
        <v>17.447166255864943</v>
      </c>
    </row>
    <row r="7530" spans="2:2" ht="15">
      <c r="B7530" s="181">
        <v>14.159930286185411</v>
      </c>
    </row>
    <row r="7531" spans="2:2" ht="15">
      <c r="B7531" s="181">
        <v>35.464138245528538</v>
      </c>
    </row>
    <row r="7532" spans="2:2" ht="15">
      <c r="B7532" s="181">
        <v>12.048559897439757</v>
      </c>
    </row>
    <row r="7533" spans="2:2" ht="15">
      <c r="B7533" s="181">
        <v>42.312799586662386</v>
      </c>
    </row>
    <row r="7534" spans="2:2" ht="15">
      <c r="B7534" s="181">
        <v>24.272490390131843</v>
      </c>
    </row>
    <row r="7535" spans="2:2" ht="15">
      <c r="B7535" s="181">
        <v>28.587761280832488</v>
      </c>
    </row>
    <row r="7536" spans="2:2" ht="15">
      <c r="B7536" s="181">
        <v>18.516263846547098</v>
      </c>
    </row>
    <row r="7537" spans="2:2" ht="15">
      <c r="B7537" s="181">
        <v>37.479835486002166</v>
      </c>
    </row>
    <row r="7538" spans="2:2" ht="15">
      <c r="B7538" s="181">
        <v>12.203600187506398</v>
      </c>
    </row>
    <row r="7539" spans="2:2" ht="15">
      <c r="B7539" s="181">
        <v>9.2912094072675941</v>
      </c>
    </row>
    <row r="7540" spans="2:2" ht="15">
      <c r="B7540" s="181">
        <v>24.264426310912224</v>
      </c>
    </row>
    <row r="7541" spans="2:2" ht="15">
      <c r="B7541" s="181">
        <v>19.85802300281712</v>
      </c>
    </row>
    <row r="7542" spans="2:2" ht="15">
      <c r="B7542" s="181">
        <v>18.715261728271315</v>
      </c>
    </row>
    <row r="7543" spans="2:2" ht="15">
      <c r="B7543" s="181">
        <v>18.19879298772155</v>
      </c>
    </row>
    <row r="7544" spans="2:2" ht="15">
      <c r="B7544" s="181">
        <v>10.176116476864584</v>
      </c>
    </row>
    <row r="7545" spans="2:2" ht="15">
      <c r="B7545" s="181">
        <v>6.1709490787339183</v>
      </c>
    </row>
    <row r="7546" spans="2:2" ht="15">
      <c r="B7546" s="181">
        <v>27.604916322527689</v>
      </c>
    </row>
    <row r="7547" spans="2:2" ht="15">
      <c r="B7547" s="181">
        <v>20.447868002521243</v>
      </c>
    </row>
    <row r="7548" spans="2:2" ht="15">
      <c r="B7548" s="181">
        <v>13.989656247866115</v>
      </c>
    </row>
    <row r="7549" spans="2:2" ht="15">
      <c r="B7549" s="181">
        <v>21.014099360588169</v>
      </c>
    </row>
    <row r="7550" spans="2:2" ht="15">
      <c r="B7550" s="181">
        <v>16.879561162551955</v>
      </c>
    </row>
    <row r="7551" spans="2:2" ht="15">
      <c r="B7551" s="181">
        <v>13.196310030498914</v>
      </c>
    </row>
    <row r="7552" spans="2:2" ht="15">
      <c r="B7552" s="181">
        <v>18.565138792981923</v>
      </c>
    </row>
    <row r="7553" spans="2:2" ht="15">
      <c r="B7553" s="181">
        <v>8.2746412521973802</v>
      </c>
    </row>
    <row r="7554" spans="2:2" ht="15">
      <c r="B7554" s="181">
        <v>29.385744638203953</v>
      </c>
    </row>
    <row r="7555" spans="2:2" ht="15">
      <c r="B7555" s="181">
        <v>26.327993066940248</v>
      </c>
    </row>
    <row r="7556" spans="2:2" ht="15">
      <c r="B7556" s="181">
        <v>9.6504847201239503</v>
      </c>
    </row>
    <row r="7557" spans="2:2" ht="15">
      <c r="B7557" s="181">
        <v>27.883680044799995</v>
      </c>
    </row>
    <row r="7558" spans="2:2" ht="15">
      <c r="B7558" s="181">
        <v>41.370944492812917</v>
      </c>
    </row>
    <row r="7559" spans="2:2" ht="15">
      <c r="B7559" s="181">
        <v>7.6997020120905866</v>
      </c>
    </row>
    <row r="7560" spans="2:2" ht="15">
      <c r="B7560" s="181">
        <v>29.89159741786435</v>
      </c>
    </row>
    <row r="7561" spans="2:2" ht="15">
      <c r="B7561" s="181">
        <v>22.846290334759072</v>
      </c>
    </row>
    <row r="7562" spans="2:2" ht="15">
      <c r="B7562" s="181">
        <v>12.006362138628372</v>
      </c>
    </row>
    <row r="7563" spans="2:2" ht="15">
      <c r="B7563" s="181">
        <v>39.733541843538362</v>
      </c>
    </row>
    <row r="7564" spans="2:2" ht="15">
      <c r="B7564" s="181">
        <v>12.498238528244938</v>
      </c>
    </row>
    <row r="7565" spans="2:2" ht="15">
      <c r="B7565" s="181">
        <v>8.7062557287440132</v>
      </c>
    </row>
    <row r="7566" spans="2:2" ht="15">
      <c r="B7566" s="181">
        <v>25.11033063316226</v>
      </c>
    </row>
    <row r="7567" spans="2:2" ht="15">
      <c r="B7567" s="181">
        <v>6.5683808066870446</v>
      </c>
    </row>
    <row r="7568" spans="2:2" ht="15">
      <c r="B7568" s="181">
        <v>10.742726055447276</v>
      </c>
    </row>
    <row r="7569" spans="2:2" ht="15">
      <c r="B7569" s="181">
        <v>11.634529946427699</v>
      </c>
    </row>
    <row r="7570" spans="2:2" ht="15">
      <c r="B7570" s="181">
        <v>5.8505879640747827</v>
      </c>
    </row>
    <row r="7571" spans="2:2" ht="15">
      <c r="B7571" s="181">
        <v>13.554427204423595</v>
      </c>
    </row>
    <row r="7572" spans="2:2" ht="15">
      <c r="B7572" s="181">
        <v>18.975478937771179</v>
      </c>
    </row>
    <row r="7573" spans="2:2" ht="15">
      <c r="B7573" s="181">
        <v>13.385232042927443</v>
      </c>
    </row>
    <row r="7574" spans="2:2" ht="15">
      <c r="B7574" s="181">
        <v>33.439892931912944</v>
      </c>
    </row>
    <row r="7575" spans="2:2" ht="15">
      <c r="B7575" s="181">
        <v>8.5061202742817219</v>
      </c>
    </row>
    <row r="7576" spans="2:2" ht="15">
      <c r="B7576" s="181">
        <v>14.893600274187982</v>
      </c>
    </row>
    <row r="7577" spans="2:2" ht="15">
      <c r="B7577" s="181">
        <v>19.546766529990425</v>
      </c>
    </row>
    <row r="7578" spans="2:2" ht="15">
      <c r="B7578" s="181">
        <v>59.395354528537602</v>
      </c>
    </row>
    <row r="7579" spans="2:2" ht="15">
      <c r="B7579" s="181">
        <v>12.059098413218718</v>
      </c>
    </row>
    <row r="7580" spans="2:2" ht="15">
      <c r="B7580" s="181">
        <v>10.021019821803506</v>
      </c>
    </row>
    <row r="7581" spans="2:2" ht="15">
      <c r="B7581" s="181">
        <v>14.768193026609797</v>
      </c>
    </row>
    <row r="7582" spans="2:2" ht="15">
      <c r="B7582" s="181">
        <v>23.681364532402892</v>
      </c>
    </row>
    <row r="7583" spans="2:2" ht="15">
      <c r="B7583" s="181">
        <v>12.830433900690535</v>
      </c>
    </row>
    <row r="7584" spans="2:2" ht="15">
      <c r="B7584" s="181">
        <v>25.489015134785276</v>
      </c>
    </row>
    <row r="7585" spans="2:2" ht="15">
      <c r="B7585" s="181">
        <v>41.12697694106847</v>
      </c>
    </row>
    <row r="7586" spans="2:2" ht="15">
      <c r="B7586" s="181">
        <v>11.944259678098227</v>
      </c>
    </row>
    <row r="7587" spans="2:2" ht="15">
      <c r="B7587" s="181">
        <v>24.322057271208891</v>
      </c>
    </row>
    <row r="7588" spans="2:2" ht="15">
      <c r="B7588" s="181">
        <v>10.81738861274671</v>
      </c>
    </row>
    <row r="7589" spans="2:2" ht="15">
      <c r="B7589" s="181">
        <v>18.117786742092619</v>
      </c>
    </row>
    <row r="7590" spans="2:2" ht="15">
      <c r="B7590" s="181">
        <v>18.892833815493546</v>
      </c>
    </row>
    <row r="7591" spans="2:2" ht="15">
      <c r="B7591" s="181">
        <v>9.8437639672351835</v>
      </c>
    </row>
    <row r="7592" spans="2:2" ht="15">
      <c r="B7592" s="181">
        <v>22.336723110955177</v>
      </c>
    </row>
    <row r="7593" spans="2:2" ht="15">
      <c r="B7593" s="181">
        <v>16.50422912622523</v>
      </c>
    </row>
    <row r="7594" spans="2:2" ht="15">
      <c r="B7594" s="181">
        <v>16.683265636706526</v>
      </c>
    </row>
    <row r="7595" spans="2:2" ht="15">
      <c r="B7595" s="181">
        <v>24.245937021025117</v>
      </c>
    </row>
    <row r="7596" spans="2:2" ht="15">
      <c r="B7596" s="181">
        <v>27.104578512176513</v>
      </c>
    </row>
    <row r="7597" spans="2:2" ht="15">
      <c r="B7597" s="181">
        <v>61.611607526880398</v>
      </c>
    </row>
    <row r="7598" spans="2:2" ht="15">
      <c r="B7598" s="181">
        <v>9.5387762052031704</v>
      </c>
    </row>
    <row r="7599" spans="2:2" ht="15">
      <c r="B7599" s="181">
        <v>19.429832333601102</v>
      </c>
    </row>
    <row r="7600" spans="2:2" ht="15">
      <c r="B7600" s="181">
        <v>10.632389964857008</v>
      </c>
    </row>
    <row r="7601" spans="2:2" ht="15">
      <c r="B7601" s="181">
        <v>50.567110577485202</v>
      </c>
    </row>
    <row r="7602" spans="2:2" ht="15">
      <c r="B7602" s="181">
        <v>13.065560102360452</v>
      </c>
    </row>
    <row r="7603" spans="2:2" ht="15">
      <c r="B7603" s="181">
        <v>30.567754667786289</v>
      </c>
    </row>
    <row r="7604" spans="2:2" ht="15">
      <c r="B7604" s="181">
        <v>25.277817995013873</v>
      </c>
    </row>
    <row r="7605" spans="2:2" ht="15">
      <c r="B7605" s="181">
        <v>23.831165230189431</v>
      </c>
    </row>
    <row r="7606" spans="2:2" ht="15">
      <c r="B7606" s="181">
        <v>11.106898695621165</v>
      </c>
    </row>
    <row r="7607" spans="2:2" ht="15">
      <c r="B7607" s="181">
        <v>17.551303722216748</v>
      </c>
    </row>
    <row r="7608" spans="2:2" ht="15">
      <c r="B7608" s="181">
        <v>12.623557571161687</v>
      </c>
    </row>
    <row r="7609" spans="2:2" ht="15">
      <c r="B7609" s="181">
        <v>32.764784523897752</v>
      </c>
    </row>
    <row r="7610" spans="2:2" ht="15">
      <c r="B7610" s="181">
        <v>10.617337568886564</v>
      </c>
    </row>
    <row r="7611" spans="2:2" ht="15">
      <c r="B7611" s="181">
        <v>21.043665215098311</v>
      </c>
    </row>
    <row r="7612" spans="2:2" ht="15">
      <c r="B7612" s="181">
        <v>27.610839296222998</v>
      </c>
    </row>
    <row r="7613" spans="2:2" ht="15">
      <c r="B7613" s="181">
        <v>22.48574434791098</v>
      </c>
    </row>
    <row r="7614" spans="2:2" ht="15">
      <c r="B7614" s="181">
        <v>54.661677865221073</v>
      </c>
    </row>
    <row r="7615" spans="2:2" ht="15">
      <c r="B7615" s="181">
        <v>14.903944551419629</v>
      </c>
    </row>
    <row r="7616" spans="2:2" ht="15">
      <c r="B7616" s="181">
        <v>4.8704903382497333</v>
      </c>
    </row>
    <row r="7617" spans="2:2" ht="15">
      <c r="B7617" s="181">
        <v>12.330134357159094</v>
      </c>
    </row>
    <row r="7618" spans="2:2" ht="15">
      <c r="B7618" s="181">
        <v>21.477607024610233</v>
      </c>
    </row>
    <row r="7619" spans="2:2" ht="15">
      <c r="B7619" s="181">
        <v>11.380659814251917</v>
      </c>
    </row>
    <row r="7620" spans="2:2" ht="15">
      <c r="B7620" s="181">
        <v>25.954596871224446</v>
      </c>
    </row>
    <row r="7621" spans="2:2" ht="15">
      <c r="B7621" s="181">
        <v>5.8205265905666597</v>
      </c>
    </row>
    <row r="7622" spans="2:2" ht="15">
      <c r="B7622" s="181">
        <v>17.399252455508183</v>
      </c>
    </row>
    <row r="7623" spans="2:2" ht="15">
      <c r="B7623" s="181">
        <v>11.129629731621913</v>
      </c>
    </row>
    <row r="7624" spans="2:2" ht="15">
      <c r="B7624" s="181">
        <v>28.029329789428729</v>
      </c>
    </row>
    <row r="7625" spans="2:2" ht="15">
      <c r="B7625" s="181">
        <v>15.540246779655005</v>
      </c>
    </row>
    <row r="7626" spans="2:2" ht="15">
      <c r="B7626" s="181">
        <v>19.38065498066425</v>
      </c>
    </row>
    <row r="7627" spans="2:2" ht="15">
      <c r="B7627" s="181">
        <v>24.116050966152848</v>
      </c>
    </row>
    <row r="7628" spans="2:2" ht="15">
      <c r="B7628" s="181">
        <v>26.884361014469402</v>
      </c>
    </row>
    <row r="7629" spans="2:2" ht="15">
      <c r="B7629" s="181">
        <v>9.985128744715194</v>
      </c>
    </row>
    <row r="7630" spans="2:2" ht="15">
      <c r="B7630" s="181">
        <v>27.980073745927243</v>
      </c>
    </row>
    <row r="7631" spans="2:2" ht="15">
      <c r="B7631" s="181">
        <v>25.622707838307623</v>
      </c>
    </row>
    <row r="7632" spans="2:2" ht="15">
      <c r="B7632" s="181">
        <v>26.054586564460628</v>
      </c>
    </row>
    <row r="7633" spans="2:2" ht="15">
      <c r="B7633" s="181">
        <v>23.658864579333425</v>
      </c>
    </row>
    <row r="7634" spans="2:2" ht="15">
      <c r="B7634" s="181">
        <v>39.670762248638283</v>
      </c>
    </row>
    <row r="7635" spans="2:2" ht="15">
      <c r="B7635" s="181">
        <v>26.5284220737922</v>
      </c>
    </row>
    <row r="7636" spans="2:2" ht="15">
      <c r="B7636" s="181">
        <v>9.9127179778996801</v>
      </c>
    </row>
    <row r="7637" spans="2:2" ht="15">
      <c r="B7637" s="181">
        <v>16.451641528867224</v>
      </c>
    </row>
    <row r="7638" spans="2:2" ht="15">
      <c r="B7638" s="181">
        <v>27.694536859575855</v>
      </c>
    </row>
    <row r="7639" spans="2:2" ht="15">
      <c r="B7639" s="181">
        <v>13.225262606802577</v>
      </c>
    </row>
    <row r="7640" spans="2:2" ht="15">
      <c r="B7640" s="181">
        <v>18.525507075451902</v>
      </c>
    </row>
    <row r="7641" spans="2:2" ht="15">
      <c r="B7641" s="181">
        <v>26.994294312797855</v>
      </c>
    </row>
    <row r="7642" spans="2:2" ht="15">
      <c r="B7642" s="181">
        <v>27.353855265281179</v>
      </c>
    </row>
    <row r="7643" spans="2:2" ht="15">
      <c r="B7643" s="181">
        <v>5.642276580882708</v>
      </c>
    </row>
    <row r="7644" spans="2:2" ht="15">
      <c r="B7644" s="181">
        <v>31.170570460109911</v>
      </c>
    </row>
    <row r="7645" spans="2:2" ht="15">
      <c r="B7645" s="181">
        <v>18.547201716454321</v>
      </c>
    </row>
    <row r="7646" spans="2:2" ht="15">
      <c r="B7646" s="181">
        <v>23.350292161704679</v>
      </c>
    </row>
    <row r="7647" spans="2:2" ht="15">
      <c r="B7647" s="181">
        <v>26.277143203680449</v>
      </c>
    </row>
    <row r="7648" spans="2:2" ht="15">
      <c r="B7648" s="181">
        <v>16.713629833484095</v>
      </c>
    </row>
    <row r="7649" spans="2:2" ht="15">
      <c r="B7649" s="181">
        <v>19.91970565259194</v>
      </c>
    </row>
    <row r="7650" spans="2:2" ht="15">
      <c r="B7650" s="181">
        <v>14.786854144430498</v>
      </c>
    </row>
    <row r="7651" spans="2:2" ht="15">
      <c r="B7651" s="181">
        <v>44.381810541482757</v>
      </c>
    </row>
    <row r="7652" spans="2:2" ht="15">
      <c r="B7652" s="181">
        <v>20.401818626353275</v>
      </c>
    </row>
    <row r="7653" spans="2:2" ht="15">
      <c r="B7653" s="181">
        <v>26.266424022444827</v>
      </c>
    </row>
    <row r="7654" spans="2:2" ht="15">
      <c r="B7654" s="181">
        <v>15.48036537737816</v>
      </c>
    </row>
    <row r="7655" spans="2:2" ht="15">
      <c r="B7655" s="181">
        <v>36.25059450296196</v>
      </c>
    </row>
    <row r="7656" spans="2:2" ht="15">
      <c r="B7656" s="181">
        <v>17.610503707376036</v>
      </c>
    </row>
    <row r="7657" spans="2:2" ht="15">
      <c r="B7657" s="181">
        <v>7.8502768291533433</v>
      </c>
    </row>
    <row r="7658" spans="2:2" ht="15">
      <c r="B7658" s="181">
        <v>37.346589844664734</v>
      </c>
    </row>
    <row r="7659" spans="2:2" ht="15">
      <c r="B7659" s="181">
        <v>7.8778586235186827</v>
      </c>
    </row>
    <row r="7660" spans="2:2" ht="15">
      <c r="B7660" s="181">
        <v>21.179856826370198</v>
      </c>
    </row>
    <row r="7661" spans="2:2" ht="15">
      <c r="B7661" s="181">
        <v>22.049353685503242</v>
      </c>
    </row>
    <row r="7662" spans="2:2" ht="15">
      <c r="B7662" s="181">
        <v>8.2279146755879999</v>
      </c>
    </row>
    <row r="7663" spans="2:2" ht="15">
      <c r="B7663" s="181">
        <v>7.4659941052831966</v>
      </c>
    </row>
    <row r="7664" spans="2:2" ht="15">
      <c r="B7664" s="181">
        <v>12.11817128738323</v>
      </c>
    </row>
    <row r="7665" spans="2:2" ht="15">
      <c r="B7665" s="181">
        <v>5.287996658284742</v>
      </c>
    </row>
    <row r="7666" spans="2:2" ht="15">
      <c r="B7666" s="181">
        <v>25.907052764397015</v>
      </c>
    </row>
    <row r="7667" spans="2:2" ht="15">
      <c r="B7667" s="181">
        <v>27.681349720616797</v>
      </c>
    </row>
    <row r="7668" spans="2:2" ht="15">
      <c r="B7668" s="181">
        <v>12.94653232696497</v>
      </c>
    </row>
    <row r="7669" spans="2:2" ht="15">
      <c r="B7669" s="181">
        <v>11.909576241941325</v>
      </c>
    </row>
    <row r="7670" spans="2:2" ht="15">
      <c r="B7670" s="181">
        <v>11.60421252985843</v>
      </c>
    </row>
    <row r="7671" spans="2:2" ht="15">
      <c r="B7671" s="181">
        <v>25.61368628203364</v>
      </c>
    </row>
    <row r="7672" spans="2:2" ht="15">
      <c r="B7672" s="181">
        <v>19.428565915603734</v>
      </c>
    </row>
    <row r="7673" spans="2:2" ht="15">
      <c r="B7673" s="181">
        <v>47.042408268609329</v>
      </c>
    </row>
    <row r="7674" spans="2:2" ht="15">
      <c r="B7674" s="181">
        <v>29.515789828468868</v>
      </c>
    </row>
    <row r="7675" spans="2:2" ht="15">
      <c r="B7675" s="181">
        <v>16.198093918588285</v>
      </c>
    </row>
    <row r="7676" spans="2:2" ht="15">
      <c r="B7676" s="181">
        <v>26.337669153345932</v>
      </c>
    </row>
    <row r="7677" spans="2:2" ht="15">
      <c r="B7677" s="181">
        <v>7.2577428586325814</v>
      </c>
    </row>
    <row r="7678" spans="2:2" ht="15">
      <c r="B7678" s="181">
        <v>22.183332324287175</v>
      </c>
    </row>
    <row r="7679" spans="2:2" ht="15">
      <c r="B7679" s="181">
        <v>32.431517444211195</v>
      </c>
    </row>
    <row r="7680" spans="2:2" ht="15">
      <c r="B7680" s="181">
        <v>33.33202044810352</v>
      </c>
    </row>
    <row r="7681" spans="2:2" ht="15">
      <c r="B7681" s="181">
        <v>14.521672448106592</v>
      </c>
    </row>
    <row r="7682" spans="2:2" ht="15">
      <c r="B7682" s="181">
        <v>53.130589507606132</v>
      </c>
    </row>
    <row r="7683" spans="2:2" ht="15">
      <c r="B7683" s="181">
        <v>14.247843091864398</v>
      </c>
    </row>
    <row r="7684" spans="2:2" ht="15">
      <c r="B7684" s="181">
        <v>16.817721730099471</v>
      </c>
    </row>
    <row r="7685" spans="2:2" ht="15">
      <c r="B7685" s="181">
        <v>7.7937081483756607</v>
      </c>
    </row>
    <row r="7686" spans="2:2" ht="15">
      <c r="B7686" s="181">
        <v>8.2881575929752938</v>
      </c>
    </row>
    <row r="7687" spans="2:2" ht="15">
      <c r="B7687" s="181">
        <v>14.217803730871024</v>
      </c>
    </row>
    <row r="7688" spans="2:2" ht="15">
      <c r="B7688" s="181">
        <v>20.811344289876221</v>
      </c>
    </row>
    <row r="7689" spans="2:2" ht="15">
      <c r="B7689" s="181">
        <v>13.11889952834596</v>
      </c>
    </row>
    <row r="7690" spans="2:2" ht="15">
      <c r="B7690" s="181">
        <v>14.377140706569232</v>
      </c>
    </row>
    <row r="7691" spans="2:2" ht="15">
      <c r="B7691" s="181">
        <v>20.451336291775586</v>
      </c>
    </row>
    <row r="7692" spans="2:2" ht="15">
      <c r="B7692" s="181">
        <v>26.722293295680064</v>
      </c>
    </row>
    <row r="7693" spans="2:2" ht="15">
      <c r="B7693" s="181">
        <v>10.738765334922027</v>
      </c>
    </row>
    <row r="7694" spans="2:2" ht="15">
      <c r="B7694" s="181">
        <v>21.063381844571921</v>
      </c>
    </row>
    <row r="7695" spans="2:2" ht="15">
      <c r="B7695" s="181">
        <v>17.064464540219813</v>
      </c>
    </row>
    <row r="7696" spans="2:2" ht="15">
      <c r="B7696" s="181">
        <v>12.974035119828715</v>
      </c>
    </row>
    <row r="7697" spans="2:2" ht="15">
      <c r="B7697" s="181">
        <v>28.89004699573028</v>
      </c>
    </row>
    <row r="7698" spans="2:2" ht="15">
      <c r="B7698" s="181">
        <v>29.408624966112452</v>
      </c>
    </row>
    <row r="7699" spans="2:2" ht="15">
      <c r="B7699" s="181">
        <v>25.505110050852942</v>
      </c>
    </row>
    <row r="7700" spans="2:2" ht="15">
      <c r="B7700" s="181">
        <v>13.297258789062987</v>
      </c>
    </row>
    <row r="7701" spans="2:2" ht="15">
      <c r="B7701" s="181">
        <v>22.123572673189894</v>
      </c>
    </row>
    <row r="7702" spans="2:2" ht="15">
      <c r="B7702" s="181">
        <v>13.224097706169964</v>
      </c>
    </row>
    <row r="7703" spans="2:2" ht="15">
      <c r="B7703" s="181">
        <v>10.216939442125733</v>
      </c>
    </row>
    <row r="7704" spans="2:2" ht="15">
      <c r="B7704" s="181">
        <v>45.417637587998662</v>
      </c>
    </row>
    <row r="7705" spans="2:2" ht="15">
      <c r="B7705" s="181">
        <v>22.207792575153643</v>
      </c>
    </row>
    <row r="7706" spans="2:2" ht="15">
      <c r="B7706" s="181">
        <v>20.071060077161277</v>
      </c>
    </row>
    <row r="7707" spans="2:2" ht="15">
      <c r="B7707" s="181">
        <v>7.8518323034175967</v>
      </c>
    </row>
    <row r="7708" spans="2:2" ht="15">
      <c r="B7708" s="181">
        <v>14.375798919531448</v>
      </c>
    </row>
    <row r="7709" spans="2:2" ht="15">
      <c r="B7709" s="181">
        <v>37.756925918953421</v>
      </c>
    </row>
    <row r="7710" spans="2:2" ht="15">
      <c r="B7710" s="181">
        <v>20.37993291843414</v>
      </c>
    </row>
    <row r="7711" spans="2:2" ht="15">
      <c r="B7711" s="181">
        <v>14.10862489723136</v>
      </c>
    </row>
    <row r="7712" spans="2:2" ht="15">
      <c r="B7712" s="181">
        <v>20.804832762638462</v>
      </c>
    </row>
    <row r="7713" spans="2:2" ht="15">
      <c r="B7713" s="181">
        <v>15.208481738661153</v>
      </c>
    </row>
    <row r="7714" spans="2:2" ht="15">
      <c r="B7714" s="181">
        <v>15.607902372410695</v>
      </c>
    </row>
    <row r="7715" spans="2:2" ht="15">
      <c r="B7715" s="181">
        <v>7.2261272110241084</v>
      </c>
    </row>
    <row r="7716" spans="2:2" ht="15">
      <c r="B7716" s="181">
        <v>13.255816224314653</v>
      </c>
    </row>
    <row r="7717" spans="2:2" ht="15">
      <c r="B7717" s="181">
        <v>14.810565263648563</v>
      </c>
    </row>
    <row r="7718" spans="2:2" ht="15">
      <c r="B7718" s="181">
        <v>36.747693029323074</v>
      </c>
    </row>
    <row r="7719" spans="2:2" ht="15">
      <c r="B7719" s="181">
        <v>7.7569873571241734</v>
      </c>
    </row>
    <row r="7720" spans="2:2" ht="15">
      <c r="B7720" s="181">
        <v>18.004313415626058</v>
      </c>
    </row>
    <row r="7721" spans="2:2" ht="15">
      <c r="B7721" s="181">
        <v>19.64970029144559</v>
      </c>
    </row>
    <row r="7722" spans="2:2" ht="15">
      <c r="B7722" s="181">
        <v>9.7289441619711194</v>
      </c>
    </row>
    <row r="7723" spans="2:2" ht="15">
      <c r="B7723" s="181">
        <v>19.058399601601163</v>
      </c>
    </row>
    <row r="7724" spans="2:2" ht="15">
      <c r="B7724" s="181">
        <v>11.310600161964713</v>
      </c>
    </row>
    <row r="7725" spans="2:2" ht="15">
      <c r="B7725" s="181">
        <v>23.592539772046745</v>
      </c>
    </row>
    <row r="7726" spans="2:2" ht="15">
      <c r="B7726" s="181">
        <v>21.136652804114341</v>
      </c>
    </row>
    <row r="7727" spans="2:2" ht="15">
      <c r="B7727" s="181">
        <v>16.631685031992411</v>
      </c>
    </row>
    <row r="7728" spans="2:2" ht="15">
      <c r="B7728" s="181">
        <v>9.0653303896308248</v>
      </c>
    </row>
    <row r="7729" spans="2:2" ht="15">
      <c r="B7729" s="181">
        <v>15.480513625384058</v>
      </c>
    </row>
    <row r="7730" spans="2:2" ht="15">
      <c r="B7730" s="181">
        <v>26.190949558456104</v>
      </c>
    </row>
    <row r="7731" spans="2:2" ht="15">
      <c r="B7731" s="181">
        <v>13.748042581396293</v>
      </c>
    </row>
    <row r="7732" spans="2:2" ht="15">
      <c r="B7732" s="181">
        <v>7.9965249299325638</v>
      </c>
    </row>
    <row r="7733" spans="2:2" ht="15">
      <c r="B7733" s="181">
        <v>16.438851338840362</v>
      </c>
    </row>
    <row r="7734" spans="2:2" ht="15">
      <c r="B7734" s="181">
        <v>14.228743252250901</v>
      </c>
    </row>
    <row r="7735" spans="2:2" ht="15">
      <c r="B7735" s="181">
        <v>19.300710752452979</v>
      </c>
    </row>
    <row r="7736" spans="2:2" ht="15">
      <c r="B7736" s="181">
        <v>25.689980215733115</v>
      </c>
    </row>
    <row r="7737" spans="2:2" ht="15">
      <c r="B7737" s="181">
        <v>20.488930610121557</v>
      </c>
    </row>
    <row r="7738" spans="2:2" ht="15">
      <c r="B7738" s="181">
        <v>19.765790925459182</v>
      </c>
    </row>
    <row r="7739" spans="2:2" ht="15">
      <c r="B7739" s="181">
        <v>14.814888239548013</v>
      </c>
    </row>
    <row r="7740" spans="2:2" ht="15">
      <c r="B7740" s="181">
        <v>6.0267800924282797</v>
      </c>
    </row>
    <row r="7741" spans="2:2" ht="15">
      <c r="B7741" s="181">
        <v>16.174107159124716</v>
      </c>
    </row>
    <row r="7742" spans="2:2" ht="15">
      <c r="B7742" s="181">
        <v>17.513796083548719</v>
      </c>
    </row>
    <row r="7743" spans="2:2" ht="15">
      <c r="B7743" s="181">
        <v>16.047290819711137</v>
      </c>
    </row>
    <row r="7744" spans="2:2" ht="15">
      <c r="B7744" s="181">
        <v>6.9155188084692414</v>
      </c>
    </row>
    <row r="7745" spans="2:2" ht="15">
      <c r="B7745" s="181">
        <v>32.159661056876949</v>
      </c>
    </row>
    <row r="7746" spans="2:2" ht="15">
      <c r="B7746" s="181">
        <v>21.435312127665149</v>
      </c>
    </row>
    <row r="7747" spans="2:2" ht="15">
      <c r="B7747" s="181">
        <v>27.089784875802991</v>
      </c>
    </row>
    <row r="7748" spans="2:2" ht="15">
      <c r="B7748" s="181">
        <v>14.531413095382025</v>
      </c>
    </row>
    <row r="7749" spans="2:2" ht="15">
      <c r="B7749" s="181">
        <v>25.736960018870299</v>
      </c>
    </row>
    <row r="7750" spans="2:2" ht="15">
      <c r="B7750" s="181">
        <v>7.0255844055980292</v>
      </c>
    </row>
    <row r="7751" spans="2:2" ht="15">
      <c r="B7751" s="181">
        <v>17.441323102873966</v>
      </c>
    </row>
    <row r="7752" spans="2:2" ht="15">
      <c r="B7752" s="181">
        <v>13.100403030560672</v>
      </c>
    </row>
    <row r="7753" spans="2:2" ht="15">
      <c r="B7753" s="181">
        <v>29.277435927904126</v>
      </c>
    </row>
    <row r="7754" spans="2:2" ht="15">
      <c r="B7754" s="181">
        <v>7.143051568319982</v>
      </c>
    </row>
    <row r="7755" spans="2:2" ht="15">
      <c r="B7755" s="181">
        <v>29.702608375365909</v>
      </c>
    </row>
    <row r="7756" spans="2:2" ht="15">
      <c r="B7756" s="181">
        <v>11.053029127180842</v>
      </c>
    </row>
    <row r="7757" spans="2:2" ht="15">
      <c r="B7757" s="181">
        <v>15.343212388328862</v>
      </c>
    </row>
    <row r="7758" spans="2:2" ht="15">
      <c r="B7758" s="181">
        <v>14.934961702961429</v>
      </c>
    </row>
    <row r="7759" spans="2:2" ht="15">
      <c r="B7759" s="181">
        <v>30.040766676987328</v>
      </c>
    </row>
    <row r="7760" spans="2:2" ht="15">
      <c r="B7760" s="181">
        <v>19.63602163844519</v>
      </c>
    </row>
    <row r="7761" spans="2:2" ht="15">
      <c r="B7761" s="181">
        <v>16.72517199172723</v>
      </c>
    </row>
    <row r="7762" spans="2:2" ht="15">
      <c r="B7762" s="181">
        <v>20.364251854883438</v>
      </c>
    </row>
    <row r="7763" spans="2:2" ht="15">
      <c r="B7763" s="181">
        <v>27.016848199501599</v>
      </c>
    </row>
    <row r="7764" spans="2:2" ht="15">
      <c r="B7764" s="181">
        <v>38.890701020722631</v>
      </c>
    </row>
    <row r="7765" spans="2:2" ht="15">
      <c r="B7765" s="181">
        <v>22.674884065184703</v>
      </c>
    </row>
    <row r="7766" spans="2:2" ht="15">
      <c r="B7766" s="181">
        <v>11.368266006962225</v>
      </c>
    </row>
    <row r="7767" spans="2:2" ht="15">
      <c r="B7767" s="181">
        <v>28.945778132732187</v>
      </c>
    </row>
    <row r="7768" spans="2:2" ht="15">
      <c r="B7768" s="181">
        <v>21.668895641420928</v>
      </c>
    </row>
    <row r="7769" spans="2:2" ht="15">
      <c r="B7769" s="181">
        <v>27.129725961792651</v>
      </c>
    </row>
    <row r="7770" spans="2:2" ht="15">
      <c r="B7770" s="181">
        <v>12.731197617581744</v>
      </c>
    </row>
    <row r="7771" spans="2:2" ht="15">
      <c r="B7771" s="181">
        <v>21.839036861797609</v>
      </c>
    </row>
    <row r="7772" spans="2:2" ht="15">
      <c r="B7772" s="181">
        <v>19.236578591299867</v>
      </c>
    </row>
    <row r="7773" spans="2:2" ht="15">
      <c r="B7773" s="181">
        <v>20.691267532769022</v>
      </c>
    </row>
    <row r="7774" spans="2:2" ht="15">
      <c r="B7774" s="181">
        <v>37.560749101443683</v>
      </c>
    </row>
    <row r="7775" spans="2:2" ht="15">
      <c r="B7775" s="181">
        <v>23.924636974370497</v>
      </c>
    </row>
    <row r="7776" spans="2:2" ht="15">
      <c r="B7776" s="181">
        <v>8.4293603142669848</v>
      </c>
    </row>
    <row r="7777" spans="2:2" ht="15">
      <c r="B7777" s="181">
        <v>16.289725795751618</v>
      </c>
    </row>
    <row r="7778" spans="2:2" ht="15">
      <c r="B7778" s="181">
        <v>19.281339943432116</v>
      </c>
    </row>
    <row r="7779" spans="2:2" ht="15">
      <c r="B7779" s="181">
        <v>11.758319013354846</v>
      </c>
    </row>
    <row r="7780" spans="2:2" ht="15">
      <c r="B7780" s="181">
        <v>26.936076295710539</v>
      </c>
    </row>
    <row r="7781" spans="2:2" ht="15">
      <c r="B7781" s="181">
        <v>6.9941305302503993</v>
      </c>
    </row>
    <row r="7782" spans="2:2" ht="15">
      <c r="B7782" s="181">
        <v>14.513641647361533</v>
      </c>
    </row>
    <row r="7783" spans="2:2" ht="15">
      <c r="B7783" s="181">
        <v>51.025329368842137</v>
      </c>
    </row>
    <row r="7784" spans="2:2" ht="15">
      <c r="B7784" s="181">
        <v>23.967316948319979</v>
      </c>
    </row>
    <row r="7785" spans="2:2" ht="15">
      <c r="B7785" s="181">
        <v>28.310821628700559</v>
      </c>
    </row>
    <row r="7786" spans="2:2" ht="15">
      <c r="B7786" s="181">
        <v>35.357689546250405</v>
      </c>
    </row>
    <row r="7787" spans="2:2" ht="15">
      <c r="B7787" s="181">
        <v>11.710752562660312</v>
      </c>
    </row>
    <row r="7788" spans="2:2" ht="15">
      <c r="B7788" s="181">
        <v>7.8389917024018638</v>
      </c>
    </row>
    <row r="7789" spans="2:2" ht="15">
      <c r="B7789" s="181">
        <v>15.823656541094909</v>
      </c>
    </row>
    <row r="7790" spans="2:2" ht="15">
      <c r="B7790" s="181">
        <v>8.497084624868311</v>
      </c>
    </row>
    <row r="7791" spans="2:2" ht="15">
      <c r="B7791" s="181">
        <v>43.539783827635112</v>
      </c>
    </row>
    <row r="7792" spans="2:2" ht="15">
      <c r="B7792" s="181">
        <v>7.5145695757504214</v>
      </c>
    </row>
    <row r="7793" spans="2:2" ht="15">
      <c r="B7793" s="181">
        <v>11.105765434183047</v>
      </c>
    </row>
    <row r="7794" spans="2:2" ht="15">
      <c r="B7794" s="181">
        <v>13.669198885067797</v>
      </c>
    </row>
    <row r="7795" spans="2:2" ht="15">
      <c r="B7795" s="181">
        <v>13.560934503337414</v>
      </c>
    </row>
    <row r="7796" spans="2:2" ht="15">
      <c r="B7796" s="181">
        <v>23.591122753798125</v>
      </c>
    </row>
    <row r="7797" spans="2:2" ht="15">
      <c r="B7797" s="181">
        <v>8.220188822112199</v>
      </c>
    </row>
    <row r="7798" spans="2:2" ht="15">
      <c r="B7798" s="181">
        <v>18.102334616683194</v>
      </c>
    </row>
    <row r="7799" spans="2:2" ht="15">
      <c r="B7799" s="181">
        <v>9.315142052397464</v>
      </c>
    </row>
    <row r="7800" spans="2:2" ht="15">
      <c r="B7800" s="181">
        <v>31.454747275488451</v>
      </c>
    </row>
    <row r="7801" spans="2:2" ht="15">
      <c r="B7801" s="181">
        <v>7.6795555295171605</v>
      </c>
    </row>
    <row r="7802" spans="2:2" ht="15">
      <c r="B7802" s="181">
        <v>39.309010406462328</v>
      </c>
    </row>
    <row r="7803" spans="2:2" ht="15">
      <c r="B7803" s="181">
        <v>10.436197578566144</v>
      </c>
    </row>
    <row r="7804" spans="2:2" ht="15">
      <c r="B7804" s="181">
        <v>16.943900756452518</v>
      </c>
    </row>
    <row r="7805" spans="2:2" ht="15">
      <c r="B7805" s="181">
        <v>34.808186842507176</v>
      </c>
    </row>
    <row r="7806" spans="2:2" ht="15">
      <c r="B7806" s="181">
        <v>17.422740428072661</v>
      </c>
    </row>
    <row r="7807" spans="2:2" ht="15">
      <c r="B7807" s="181">
        <v>14.077349471991507</v>
      </c>
    </row>
    <row r="7808" spans="2:2" ht="15">
      <c r="B7808" s="181">
        <v>13.348876848461272</v>
      </c>
    </row>
    <row r="7809" spans="2:2" ht="15">
      <c r="B7809" s="181">
        <v>31.984300332231012</v>
      </c>
    </row>
    <row r="7810" spans="2:2" ht="15">
      <c r="B7810" s="181">
        <v>10.946547969674123</v>
      </c>
    </row>
    <row r="7811" spans="2:2" ht="15">
      <c r="B7811" s="181">
        <v>15.623498922773306</v>
      </c>
    </row>
    <row r="7812" spans="2:2" ht="15">
      <c r="B7812" s="181">
        <v>12.191069523779019</v>
      </c>
    </row>
    <row r="7813" spans="2:2" ht="15">
      <c r="B7813" s="181">
        <v>20.722229094107046</v>
      </c>
    </row>
    <row r="7814" spans="2:2" ht="15">
      <c r="B7814" s="181">
        <v>21.878737905296212</v>
      </c>
    </row>
    <row r="7815" spans="2:2" ht="15">
      <c r="B7815" s="181">
        <v>11.892992170711434</v>
      </c>
    </row>
    <row r="7816" spans="2:2" ht="15">
      <c r="B7816" s="181">
        <v>17.338668800690325</v>
      </c>
    </row>
    <row r="7817" spans="2:2" ht="15">
      <c r="B7817" s="181">
        <v>17.859561878141307</v>
      </c>
    </row>
    <row r="7818" spans="2:2" ht="15">
      <c r="B7818" s="181">
        <v>21.102962516472278</v>
      </c>
    </row>
    <row r="7819" spans="2:2" ht="15">
      <c r="B7819" s="181">
        <v>7.6041400719641636</v>
      </c>
    </row>
    <row r="7820" spans="2:2" ht="15">
      <c r="B7820" s="181">
        <v>21.729457654379992</v>
      </c>
    </row>
    <row r="7821" spans="2:2" ht="15">
      <c r="B7821" s="181">
        <v>21.990384634068494</v>
      </c>
    </row>
    <row r="7822" spans="2:2" ht="15">
      <c r="B7822" s="181">
        <v>3.5603050225287221</v>
      </c>
    </row>
    <row r="7823" spans="2:2" ht="15">
      <c r="B7823" s="181">
        <v>29.740361092974606</v>
      </c>
    </row>
    <row r="7824" spans="2:2" ht="15">
      <c r="B7824" s="181">
        <v>32.82023457347934</v>
      </c>
    </row>
    <row r="7825" spans="2:2" ht="15">
      <c r="B7825" s="181">
        <v>12.377757533253279</v>
      </c>
    </row>
    <row r="7826" spans="2:2" ht="15">
      <c r="B7826" s="181">
        <v>23.528367957311239</v>
      </c>
    </row>
    <row r="7827" spans="2:2" ht="15">
      <c r="B7827" s="181">
        <v>10.178747868544425</v>
      </c>
    </row>
    <row r="7828" spans="2:2" ht="15">
      <c r="B7828" s="181">
        <v>17.858729555387065</v>
      </c>
    </row>
    <row r="7829" spans="2:2" ht="15">
      <c r="B7829" s="181">
        <v>14.822260135958739</v>
      </c>
    </row>
    <row r="7830" spans="2:2" ht="15">
      <c r="B7830" s="181">
        <v>22.287016945080179</v>
      </c>
    </row>
    <row r="7831" spans="2:2" ht="15">
      <c r="B7831" s="181">
        <v>14.222393236654733</v>
      </c>
    </row>
    <row r="7832" spans="2:2" ht="15">
      <c r="B7832" s="181">
        <v>13.062491400524571</v>
      </c>
    </row>
    <row r="7833" spans="2:2" ht="15">
      <c r="B7833" s="181">
        <v>29.918042010526666</v>
      </c>
    </row>
    <row r="7834" spans="2:2" ht="15">
      <c r="B7834" s="181">
        <v>25.814610604007175</v>
      </c>
    </row>
    <row r="7835" spans="2:2" ht="15">
      <c r="B7835" s="181">
        <v>14.794496727990929</v>
      </c>
    </row>
    <row r="7836" spans="2:2" ht="15">
      <c r="B7836" s="181">
        <v>35.223546929486936</v>
      </c>
    </row>
    <row r="7837" spans="2:2" ht="15">
      <c r="B7837" s="181">
        <v>31.229128549770618</v>
      </c>
    </row>
    <row r="7838" spans="2:2" ht="15">
      <c r="B7838" s="181">
        <v>24.134225082452069</v>
      </c>
    </row>
    <row r="7839" spans="2:2" ht="15">
      <c r="B7839" s="181">
        <v>14.296245004768837</v>
      </c>
    </row>
    <row r="7840" spans="2:2" ht="15">
      <c r="B7840" s="181">
        <v>18.85478233285286</v>
      </c>
    </row>
    <row r="7841" spans="2:2" ht="15">
      <c r="B7841" s="181">
        <v>40.298849096061467</v>
      </c>
    </row>
    <row r="7842" spans="2:2" ht="15">
      <c r="B7842" s="181">
        <v>18.21135203495794</v>
      </c>
    </row>
    <row r="7843" spans="2:2" ht="15">
      <c r="B7843" s="181">
        <v>24.860723294658325</v>
      </c>
    </row>
    <row r="7844" spans="2:2" ht="15">
      <c r="B7844" s="181">
        <v>7.1687309701874087</v>
      </c>
    </row>
    <row r="7845" spans="2:2" ht="15">
      <c r="B7845" s="181">
        <v>14.840060714095683</v>
      </c>
    </row>
    <row r="7846" spans="2:2" ht="15">
      <c r="B7846" s="181">
        <v>13.574919201578822</v>
      </c>
    </row>
    <row r="7847" spans="2:2" ht="15">
      <c r="B7847" s="181">
        <v>18.630497333971515</v>
      </c>
    </row>
    <row r="7848" spans="2:2" ht="15">
      <c r="B7848" s="181">
        <v>23.958827424419951</v>
      </c>
    </row>
    <row r="7849" spans="2:2" ht="15">
      <c r="B7849" s="181">
        <v>26.376037165898378</v>
      </c>
    </row>
    <row r="7850" spans="2:2" ht="15">
      <c r="B7850" s="181">
        <v>14.285612625772282</v>
      </c>
    </row>
    <row r="7851" spans="2:2" ht="15">
      <c r="B7851" s="181">
        <v>17.712975821399471</v>
      </c>
    </row>
    <row r="7852" spans="2:2" ht="15">
      <c r="B7852" s="181">
        <v>33.074043120529105</v>
      </c>
    </row>
    <row r="7853" spans="2:2" ht="15">
      <c r="B7853" s="181">
        <v>14.947458825866562</v>
      </c>
    </row>
    <row r="7854" spans="2:2" ht="15">
      <c r="B7854" s="181">
        <v>22.139056819256812</v>
      </c>
    </row>
    <row r="7855" spans="2:2" ht="15">
      <c r="B7855" s="181">
        <v>20.31631540049688</v>
      </c>
    </row>
    <row r="7856" spans="2:2" ht="15">
      <c r="B7856" s="181">
        <v>20.765008933928861</v>
      </c>
    </row>
    <row r="7857" spans="2:2" ht="15">
      <c r="B7857" s="181">
        <v>13.664222867484158</v>
      </c>
    </row>
    <row r="7858" spans="2:2" ht="15">
      <c r="B7858" s="181">
        <v>39.304936533846949</v>
      </c>
    </row>
    <row r="7859" spans="2:2" ht="15">
      <c r="B7859" s="181">
        <v>31.08384106355442</v>
      </c>
    </row>
    <row r="7860" spans="2:2" ht="15">
      <c r="B7860" s="181">
        <v>18.476419017635124</v>
      </c>
    </row>
    <row r="7861" spans="2:2" ht="15">
      <c r="B7861" s="181">
        <v>20.004100174133995</v>
      </c>
    </row>
    <row r="7862" spans="2:2" ht="15">
      <c r="B7862" s="181">
        <v>19.701288892610201</v>
      </c>
    </row>
    <row r="7863" spans="2:2" ht="15">
      <c r="B7863" s="181">
        <v>9.8147308087623184</v>
      </c>
    </row>
    <row r="7864" spans="2:2" ht="15">
      <c r="B7864" s="181">
        <v>22.280197734632264</v>
      </c>
    </row>
    <row r="7865" spans="2:2" ht="15">
      <c r="B7865" s="181">
        <v>7.8118923120646331</v>
      </c>
    </row>
    <row r="7866" spans="2:2" ht="15">
      <c r="B7866" s="181">
        <v>51.537306216661428</v>
      </c>
    </row>
    <row r="7867" spans="2:2" ht="15">
      <c r="B7867" s="181">
        <v>26.616214080309923</v>
      </c>
    </row>
    <row r="7868" spans="2:2" ht="15">
      <c r="B7868" s="181">
        <v>28.12758886770159</v>
      </c>
    </row>
    <row r="7869" spans="2:2" ht="15">
      <c r="B7869" s="181">
        <v>26.409197402467999</v>
      </c>
    </row>
    <row r="7870" spans="2:2" ht="15">
      <c r="B7870" s="181">
        <v>28.224654429530922</v>
      </c>
    </row>
    <row r="7871" spans="2:2" ht="15">
      <c r="B7871" s="181">
        <v>21.634256215281166</v>
      </c>
    </row>
    <row r="7872" spans="2:2" ht="15">
      <c r="B7872" s="181">
        <v>26.998985639880043</v>
      </c>
    </row>
    <row r="7873" spans="2:2" ht="15">
      <c r="B7873" s="181">
        <v>9.2655591562869315</v>
      </c>
    </row>
    <row r="7874" spans="2:2" ht="15">
      <c r="B7874" s="181">
        <v>52.796684147253742</v>
      </c>
    </row>
    <row r="7875" spans="2:2" ht="15">
      <c r="B7875" s="181">
        <v>38.375882732219459</v>
      </c>
    </row>
    <row r="7876" spans="2:2" ht="15">
      <c r="B7876" s="181">
        <v>11.093965858715016</v>
      </c>
    </row>
    <row r="7877" spans="2:2" ht="15">
      <c r="B7877" s="181">
        <v>29.971007382911974</v>
      </c>
    </row>
    <row r="7878" spans="2:2" ht="15">
      <c r="B7878" s="181">
        <v>6.733756075696494</v>
      </c>
    </row>
    <row r="7879" spans="2:2" ht="15">
      <c r="B7879" s="181">
        <v>62.817091693231973</v>
      </c>
    </row>
    <row r="7880" spans="2:2" ht="15">
      <c r="B7880" s="181">
        <v>11.591934410086157</v>
      </c>
    </row>
    <row r="7881" spans="2:2" ht="15">
      <c r="B7881" s="181">
        <v>19.531942640645166</v>
      </c>
    </row>
    <row r="7882" spans="2:2" ht="15">
      <c r="B7882" s="181">
        <v>29.436566914079158</v>
      </c>
    </row>
    <row r="7883" spans="2:2" ht="15">
      <c r="B7883" s="181">
        <v>30.511199141384473</v>
      </c>
    </row>
    <row r="7884" spans="2:2" ht="15">
      <c r="B7884" s="181">
        <v>21.740115220912205</v>
      </c>
    </row>
    <row r="7885" spans="2:2" ht="15">
      <c r="B7885" s="181">
        <v>23.382024261347425</v>
      </c>
    </row>
    <row r="7886" spans="2:2" ht="15">
      <c r="B7886" s="181">
        <v>20.600279348934521</v>
      </c>
    </row>
    <row r="7887" spans="2:2" ht="15">
      <c r="B7887" s="181">
        <v>45.061362891199394</v>
      </c>
    </row>
    <row r="7888" spans="2:2" ht="15">
      <c r="B7888" s="181">
        <v>22.161881530926966</v>
      </c>
    </row>
    <row r="7889" spans="2:2" ht="15">
      <c r="B7889" s="181">
        <v>24.738035292316017</v>
      </c>
    </row>
    <row r="7890" spans="2:2" ht="15">
      <c r="B7890" s="181">
        <v>7.8057614248456533</v>
      </c>
    </row>
    <row r="7891" spans="2:2" ht="15">
      <c r="B7891" s="181">
        <v>12.741151048728302</v>
      </c>
    </row>
    <row r="7892" spans="2:2" ht="15">
      <c r="B7892" s="181">
        <v>11.455922850717133</v>
      </c>
    </row>
    <row r="7893" spans="2:2" ht="15">
      <c r="B7893" s="181">
        <v>14.780092380415155</v>
      </c>
    </row>
    <row r="7894" spans="2:2" ht="15">
      <c r="B7894" s="181">
        <v>36.66418813507584</v>
      </c>
    </row>
    <row r="7895" spans="2:2" ht="15">
      <c r="B7895" s="181">
        <v>22.299288394484172</v>
      </c>
    </row>
    <row r="7896" spans="2:2" ht="15">
      <c r="B7896" s="181">
        <v>19.54445427027748</v>
      </c>
    </row>
    <row r="7897" spans="2:2" ht="15">
      <c r="B7897" s="181">
        <v>18.99597384976002</v>
      </c>
    </row>
    <row r="7898" spans="2:2" ht="15">
      <c r="B7898" s="181">
        <v>11.500934257093277</v>
      </c>
    </row>
    <row r="7899" spans="2:2" ht="15">
      <c r="B7899" s="181">
        <v>7.6141195826185664</v>
      </c>
    </row>
    <row r="7900" spans="2:2" ht="15">
      <c r="B7900" s="181">
        <v>19.326734874861113</v>
      </c>
    </row>
    <row r="7901" spans="2:2" ht="15">
      <c r="B7901" s="181">
        <v>10.56416430287789</v>
      </c>
    </row>
    <row r="7902" spans="2:2" ht="15">
      <c r="B7902" s="181">
        <v>8.0697504676012137</v>
      </c>
    </row>
    <row r="7903" spans="2:2" ht="15">
      <c r="B7903" s="181">
        <v>9.2380343999015722</v>
      </c>
    </row>
    <row r="7904" spans="2:2" ht="15">
      <c r="B7904" s="181">
        <v>13.879813995685991</v>
      </c>
    </row>
    <row r="7905" spans="2:2" ht="15">
      <c r="B7905" s="181">
        <v>43.81475615635248</v>
      </c>
    </row>
    <row r="7906" spans="2:2" ht="15">
      <c r="B7906" s="181">
        <v>18.378325310950316</v>
      </c>
    </row>
    <row r="7907" spans="2:2" ht="15">
      <c r="B7907" s="181">
        <v>24.981747575890942</v>
      </c>
    </row>
    <row r="7908" spans="2:2" ht="15">
      <c r="B7908" s="181">
        <v>18.522180539929774</v>
      </c>
    </row>
    <row r="7909" spans="2:2" ht="15">
      <c r="B7909" s="181">
        <v>24.062245736515077</v>
      </c>
    </row>
    <row r="7910" spans="2:2" ht="15">
      <c r="B7910" s="181">
        <v>50.941645092970148</v>
      </c>
    </row>
    <row r="7911" spans="2:2" ht="15">
      <c r="B7911" s="181">
        <v>27.807506305153943</v>
      </c>
    </row>
    <row r="7912" spans="2:2" ht="15">
      <c r="B7912" s="181">
        <v>10.478746159498783</v>
      </c>
    </row>
    <row r="7913" spans="2:2" ht="15">
      <c r="B7913" s="181">
        <v>11.33863146718771</v>
      </c>
    </row>
    <row r="7914" spans="2:2" ht="15">
      <c r="B7914" s="181">
        <v>10.184366779074812</v>
      </c>
    </row>
    <row r="7915" spans="2:2" ht="15">
      <c r="B7915" s="181">
        <v>15.611609371724809</v>
      </c>
    </row>
    <row r="7916" spans="2:2" ht="15">
      <c r="B7916" s="181">
        <v>17.624231189364377</v>
      </c>
    </row>
    <row r="7917" spans="2:2" ht="15">
      <c r="B7917" s="181">
        <v>15.123131316435915</v>
      </c>
    </row>
    <row r="7918" spans="2:2" ht="15">
      <c r="B7918" s="181">
        <v>17.875077586622233</v>
      </c>
    </row>
    <row r="7919" spans="2:2" ht="15">
      <c r="B7919" s="181">
        <v>7.6940220335472347</v>
      </c>
    </row>
    <row r="7920" spans="2:2" ht="15">
      <c r="B7920" s="181">
        <v>13.343136406988695</v>
      </c>
    </row>
    <row r="7921" spans="2:2" ht="15">
      <c r="B7921" s="181">
        <v>18.148015507249671</v>
      </c>
    </row>
    <row r="7922" spans="2:2" ht="15">
      <c r="B7922" s="181">
        <v>13.322604395543181</v>
      </c>
    </row>
    <row r="7923" spans="2:2" ht="15">
      <c r="B7923" s="181">
        <v>5.4546757055556903</v>
      </c>
    </row>
    <row r="7924" spans="2:2" ht="15">
      <c r="B7924" s="181">
        <v>4.7400739444325595</v>
      </c>
    </row>
    <row r="7925" spans="2:2" ht="15">
      <c r="B7925" s="181">
        <v>9.0614917053842579</v>
      </c>
    </row>
    <row r="7926" spans="2:2" ht="15">
      <c r="B7926" s="181">
        <v>20.524241014056226</v>
      </c>
    </row>
    <row r="7927" spans="2:2" ht="15">
      <c r="B7927" s="181">
        <v>34.471270204317783</v>
      </c>
    </row>
    <row r="7928" spans="2:2" ht="15">
      <c r="B7928" s="181">
        <v>20.047488171336742</v>
      </c>
    </row>
    <row r="7929" spans="2:2" ht="15">
      <c r="B7929" s="181">
        <v>13.717962019281783</v>
      </c>
    </row>
    <row r="7930" spans="2:2" ht="15">
      <c r="B7930" s="181">
        <v>34.29221207501849</v>
      </c>
    </row>
    <row r="7931" spans="2:2" ht="15">
      <c r="B7931" s="181">
        <v>6.0375757220930177</v>
      </c>
    </row>
    <row r="7932" spans="2:2" ht="15">
      <c r="B7932" s="181">
        <v>15.300346014507211</v>
      </c>
    </row>
    <row r="7933" spans="2:2" ht="15">
      <c r="B7933" s="181">
        <v>19.42685008158427</v>
      </c>
    </row>
    <row r="7934" spans="2:2" ht="15">
      <c r="B7934" s="181">
        <v>27.152505443804412</v>
      </c>
    </row>
    <row r="7935" spans="2:2" ht="15">
      <c r="B7935" s="181">
        <v>39.09517130026461</v>
      </c>
    </row>
    <row r="7936" spans="2:2" ht="15">
      <c r="B7936" s="181">
        <v>5.3020624288951481</v>
      </c>
    </row>
    <row r="7937" spans="2:2" ht="15">
      <c r="B7937" s="181">
        <v>22.690746155512745</v>
      </c>
    </row>
    <row r="7938" spans="2:2" ht="15">
      <c r="B7938" s="181">
        <v>10.499438383251345</v>
      </c>
    </row>
    <row r="7939" spans="2:2" ht="15">
      <c r="B7939" s="181">
        <v>12.656170053505868</v>
      </c>
    </row>
    <row r="7940" spans="2:2" ht="15">
      <c r="B7940" s="181">
        <v>15.915153366624917</v>
      </c>
    </row>
    <row r="7941" spans="2:2" ht="15">
      <c r="B7941" s="181">
        <v>6.8090286375009343</v>
      </c>
    </row>
    <row r="7942" spans="2:2" ht="15">
      <c r="B7942" s="181">
        <v>19.447004183964729</v>
      </c>
    </row>
    <row r="7943" spans="2:2" ht="15">
      <c r="B7943" s="181">
        <v>13.567551772584256</v>
      </c>
    </row>
    <row r="7944" spans="2:2" ht="15">
      <c r="B7944" s="181">
        <v>35.988111432646797</v>
      </c>
    </row>
    <row r="7945" spans="2:2" ht="15">
      <c r="B7945" s="181">
        <v>10.911064438181526</v>
      </c>
    </row>
    <row r="7946" spans="2:2" ht="15">
      <c r="B7946" s="181">
        <v>41.419872569843712</v>
      </c>
    </row>
    <row r="7947" spans="2:2" ht="15">
      <c r="B7947" s="181">
        <v>26.042506329594396</v>
      </c>
    </row>
    <row r="7948" spans="2:2" ht="15">
      <c r="B7948" s="181">
        <v>23.089133362617645</v>
      </c>
    </row>
    <row r="7949" spans="2:2" ht="15">
      <c r="B7949" s="181">
        <v>12.114375757936488</v>
      </c>
    </row>
    <row r="7950" spans="2:2" ht="15">
      <c r="B7950" s="181">
        <v>12.912147386443863</v>
      </c>
    </row>
    <row r="7951" spans="2:2" ht="15">
      <c r="B7951" s="181">
        <v>11.407935893215528</v>
      </c>
    </row>
    <row r="7952" spans="2:2" ht="15">
      <c r="B7952" s="181">
        <v>44.155736226436289</v>
      </c>
    </row>
    <row r="7953" spans="2:2" ht="15">
      <c r="B7953" s="181">
        <v>17.907454789395008</v>
      </c>
    </row>
    <row r="7954" spans="2:2" ht="15">
      <c r="B7954" s="181">
        <v>25.327129904498868</v>
      </c>
    </row>
    <row r="7955" spans="2:2" ht="15">
      <c r="B7955" s="181">
        <v>26.884153477152591</v>
      </c>
    </row>
    <row r="7956" spans="2:2" ht="15">
      <c r="B7956" s="181">
        <v>13.041819113386882</v>
      </c>
    </row>
    <row r="7957" spans="2:2" ht="15">
      <c r="B7957" s="181">
        <v>11.187928052771248</v>
      </c>
    </row>
    <row r="7958" spans="2:2" ht="15">
      <c r="B7958" s="181">
        <v>5.9426541696887378</v>
      </c>
    </row>
    <row r="7959" spans="2:2" ht="15">
      <c r="B7959" s="181">
        <v>23.654143431563348</v>
      </c>
    </row>
    <row r="7960" spans="2:2" ht="15">
      <c r="B7960" s="181">
        <v>21.849929609023828</v>
      </c>
    </row>
    <row r="7961" spans="2:2" ht="15">
      <c r="B7961" s="181">
        <v>29.080646469333796</v>
      </c>
    </row>
    <row r="7962" spans="2:2" ht="15">
      <c r="B7962" s="181">
        <v>21.115238330081993</v>
      </c>
    </row>
    <row r="7963" spans="2:2" ht="15">
      <c r="B7963" s="181">
        <v>14.270542227527512</v>
      </c>
    </row>
    <row r="7964" spans="2:2" ht="15">
      <c r="B7964" s="181">
        <v>8.7679966780777097</v>
      </c>
    </row>
    <row r="7965" spans="2:2" ht="15">
      <c r="B7965" s="181">
        <v>22.235941811586557</v>
      </c>
    </row>
    <row r="7966" spans="2:2" ht="15">
      <c r="B7966" s="181">
        <v>28.486663657867581</v>
      </c>
    </row>
    <row r="7967" spans="2:2" ht="15">
      <c r="B7967" s="181">
        <v>7.8639535796127937</v>
      </c>
    </row>
    <row r="7968" spans="2:2" ht="15">
      <c r="B7968" s="181">
        <v>10.648364674334644</v>
      </c>
    </row>
    <row r="7969" spans="2:2" ht="15">
      <c r="B7969" s="181">
        <v>59.504871605474143</v>
      </c>
    </row>
    <row r="7970" spans="2:2" ht="15">
      <c r="B7970" s="181">
        <v>15.87660822495541</v>
      </c>
    </row>
    <row r="7971" spans="2:2" ht="15">
      <c r="B7971" s="181">
        <v>64.407367009688869</v>
      </c>
    </row>
    <row r="7972" spans="2:2" ht="15">
      <c r="B7972" s="181">
        <v>25.703017979281565</v>
      </c>
    </row>
    <row r="7973" spans="2:2" ht="15">
      <c r="B7973" s="181">
        <v>99.174678028788421</v>
      </c>
    </row>
    <row r="7974" spans="2:2" ht="15">
      <c r="B7974" s="181">
        <v>17.669204549951822</v>
      </c>
    </row>
    <row r="7975" spans="2:2" ht="15">
      <c r="B7975" s="181">
        <v>10.554561484902633</v>
      </c>
    </row>
    <row r="7976" spans="2:2" ht="15">
      <c r="B7976" s="181">
        <v>31.777002052330324</v>
      </c>
    </row>
    <row r="7977" spans="2:2" ht="15">
      <c r="B7977" s="181">
        <v>29.045658780408822</v>
      </c>
    </row>
    <row r="7978" spans="2:2" ht="15">
      <c r="B7978" s="181">
        <v>12.787983083328776</v>
      </c>
    </row>
    <row r="7979" spans="2:2" ht="15">
      <c r="B7979" s="181">
        <v>24.381938086552609</v>
      </c>
    </row>
    <row r="7980" spans="2:2" ht="15">
      <c r="B7980" s="181">
        <v>14.257259777647256</v>
      </c>
    </row>
    <row r="7981" spans="2:2" ht="15">
      <c r="B7981" s="181">
        <v>5.9417539994767976</v>
      </c>
    </row>
    <row r="7982" spans="2:2" ht="15">
      <c r="B7982" s="181">
        <v>23.000740437607831</v>
      </c>
    </row>
    <row r="7983" spans="2:2" ht="15">
      <c r="B7983" s="181">
        <v>15.451218593474575</v>
      </c>
    </row>
    <row r="7984" spans="2:2" ht="15">
      <c r="B7984" s="181">
        <v>24.516835538025763</v>
      </c>
    </row>
    <row r="7985" spans="2:2" ht="15">
      <c r="B7985" s="181">
        <v>19.087626056266117</v>
      </c>
    </row>
    <row r="7986" spans="2:2" ht="15">
      <c r="B7986" s="181">
        <v>36.041794776844199</v>
      </c>
    </row>
    <row r="7987" spans="2:2" ht="15">
      <c r="B7987" s="181">
        <v>22.978051826294511</v>
      </c>
    </row>
    <row r="7988" spans="2:2" ht="15">
      <c r="B7988" s="181">
        <v>17.441146279805526</v>
      </c>
    </row>
    <row r="7989" spans="2:2" ht="15">
      <c r="B7989" s="181">
        <v>14.845270742849511</v>
      </c>
    </row>
    <row r="7990" spans="2:2" ht="15">
      <c r="B7990" s="181">
        <v>25.100529599372635</v>
      </c>
    </row>
    <row r="7991" spans="2:2" ht="15">
      <c r="B7991" s="181">
        <v>9.2084846808517415</v>
      </c>
    </row>
    <row r="7992" spans="2:2" ht="15">
      <c r="B7992" s="181">
        <v>18.233021018559622</v>
      </c>
    </row>
    <row r="7993" spans="2:2" ht="15">
      <c r="B7993" s="181">
        <v>27.918647680599083</v>
      </c>
    </row>
    <row r="7994" spans="2:2" ht="15">
      <c r="B7994" s="181">
        <v>42.514604927338745</v>
      </c>
    </row>
    <row r="7995" spans="2:2" ht="15">
      <c r="B7995" s="181">
        <v>11.463799122333151</v>
      </c>
    </row>
    <row r="7996" spans="2:2" ht="15">
      <c r="B7996" s="181">
        <v>8.9257140889873359</v>
      </c>
    </row>
    <row r="7997" spans="2:2" ht="15">
      <c r="B7997" s="181">
        <v>16.756637938220599</v>
      </c>
    </row>
    <row r="7998" spans="2:2" ht="15">
      <c r="B7998" s="181">
        <v>21.334241413443642</v>
      </c>
    </row>
    <row r="7999" spans="2:2" ht="15">
      <c r="B7999" s="181">
        <v>18.615098297520685</v>
      </c>
    </row>
    <row r="8000" spans="2:2" ht="15">
      <c r="B8000" s="181">
        <v>14.328742439575613</v>
      </c>
    </row>
    <row r="8001" spans="2:2" ht="15">
      <c r="B8001" s="181">
        <v>53.692777779917556</v>
      </c>
    </row>
    <row r="8002" spans="2:2" ht="15">
      <c r="B8002" s="181">
        <v>18.065275754132699</v>
      </c>
    </row>
    <row r="8003" spans="2:2" ht="15">
      <c r="B8003" s="181">
        <v>9.7713743179996229</v>
      </c>
    </row>
    <row r="8004" spans="2:2" ht="15">
      <c r="B8004" s="181">
        <v>37.394006376437389</v>
      </c>
    </row>
    <row r="8005" spans="2:2" ht="15">
      <c r="B8005" s="181">
        <v>32.40338071404981</v>
      </c>
    </row>
    <row r="8006" spans="2:2" ht="15">
      <c r="B8006" s="181">
        <v>12.682546152318974</v>
      </c>
    </row>
    <row r="8007" spans="2:2" ht="15">
      <c r="B8007" s="181">
        <v>21.124349326375921</v>
      </c>
    </row>
    <row r="8008" spans="2:2" ht="15">
      <c r="B8008" s="181">
        <v>12.461753282877162</v>
      </c>
    </row>
    <row r="8009" spans="2:2" ht="15">
      <c r="B8009" s="181">
        <v>19.468632022027194</v>
      </c>
    </row>
    <row r="8010" spans="2:2" ht="15">
      <c r="B8010" s="181">
        <v>16.566515805516406</v>
      </c>
    </row>
    <row r="8011" spans="2:2" ht="15">
      <c r="B8011" s="181">
        <v>7.9568706442196993</v>
      </c>
    </row>
    <row r="8012" spans="2:2" ht="15">
      <c r="B8012" s="181">
        <v>17.40877948117917</v>
      </c>
    </row>
    <row r="8013" spans="2:2" ht="15">
      <c r="B8013" s="181">
        <v>33.682981251842968</v>
      </c>
    </row>
    <row r="8014" spans="2:2" ht="15">
      <c r="B8014" s="181">
        <v>13.450992061369405</v>
      </c>
    </row>
    <row r="8015" spans="2:2" ht="15">
      <c r="B8015" s="181">
        <v>25.15014182863284</v>
      </c>
    </row>
    <row r="8016" spans="2:2" ht="15">
      <c r="B8016" s="181">
        <v>32.077797547586975</v>
      </c>
    </row>
    <row r="8017" spans="2:2" ht="15">
      <c r="B8017" s="181">
        <v>34.134764163500463</v>
      </c>
    </row>
    <row r="8018" spans="2:2" ht="15">
      <c r="B8018" s="181">
        <v>19.715931122911417</v>
      </c>
    </row>
    <row r="8019" spans="2:2" ht="15">
      <c r="B8019" s="181">
        <v>13.506142489576776</v>
      </c>
    </row>
    <row r="8020" spans="2:2" ht="15">
      <c r="B8020" s="181">
        <v>22.954524841976919</v>
      </c>
    </row>
    <row r="8021" spans="2:2" ht="15">
      <c r="B8021" s="181">
        <v>33.794305210566264</v>
      </c>
    </row>
    <row r="8022" spans="2:2" ht="15">
      <c r="B8022" s="181">
        <v>31.740570599771694</v>
      </c>
    </row>
    <row r="8023" spans="2:2" ht="15">
      <c r="B8023" s="181">
        <v>23.556110382768814</v>
      </c>
    </row>
    <row r="8024" spans="2:2" ht="15">
      <c r="B8024" s="181">
        <v>20.675870088211855</v>
      </c>
    </row>
    <row r="8025" spans="2:2" ht="15">
      <c r="B8025" s="181">
        <v>26.54195151361159</v>
      </c>
    </row>
    <row r="8026" spans="2:2" ht="15">
      <c r="B8026" s="181">
        <v>22.652608749881466</v>
      </c>
    </row>
    <row r="8027" spans="2:2" ht="15">
      <c r="B8027" s="181">
        <v>36.266645263823186</v>
      </c>
    </row>
    <row r="8028" spans="2:2" ht="15">
      <c r="B8028" s="181">
        <v>13.741084878401781</v>
      </c>
    </row>
    <row r="8029" spans="2:2" ht="15">
      <c r="B8029" s="181">
        <v>10.824900479678924</v>
      </c>
    </row>
    <row r="8030" spans="2:2" ht="15">
      <c r="B8030" s="181">
        <v>14.785413389062644</v>
      </c>
    </row>
    <row r="8031" spans="2:2" ht="15">
      <c r="B8031" s="181">
        <v>17.588257963881254</v>
      </c>
    </row>
    <row r="8032" spans="2:2" ht="15">
      <c r="B8032" s="181">
        <v>20.680847888986087</v>
      </c>
    </row>
    <row r="8033" spans="2:2" ht="15">
      <c r="B8033" s="181">
        <v>14.782133110826967</v>
      </c>
    </row>
    <row r="8034" spans="2:2" ht="15">
      <c r="B8034" s="181">
        <v>43.864586276092702</v>
      </c>
    </row>
    <row r="8035" spans="2:2" ht="15">
      <c r="B8035" s="181">
        <v>11.716682383941411</v>
      </c>
    </row>
    <row r="8036" spans="2:2" ht="15">
      <c r="B8036" s="181">
        <v>32.574922594474934</v>
      </c>
    </row>
    <row r="8037" spans="2:2" ht="15">
      <c r="B8037" s="181">
        <v>14.633221284132654</v>
      </c>
    </row>
    <row r="8038" spans="2:2" ht="15">
      <c r="B8038" s="181">
        <v>13.344871992705661</v>
      </c>
    </row>
    <row r="8039" spans="2:2" ht="15">
      <c r="B8039" s="181">
        <v>28.710804850183472</v>
      </c>
    </row>
    <row r="8040" spans="2:2" ht="15">
      <c r="B8040" s="181">
        <v>16.525682300079385</v>
      </c>
    </row>
    <row r="8041" spans="2:2" ht="15">
      <c r="B8041" s="181">
        <v>15.376301710665565</v>
      </c>
    </row>
    <row r="8042" spans="2:2" ht="15">
      <c r="B8042" s="181">
        <v>7.1183039019595054</v>
      </c>
    </row>
    <row r="8043" spans="2:2" ht="15">
      <c r="B8043" s="181">
        <v>17.959256667138636</v>
      </c>
    </row>
    <row r="8044" spans="2:2" ht="15">
      <c r="B8044" s="181">
        <v>12.757245073469779</v>
      </c>
    </row>
    <row r="8045" spans="2:2" ht="15">
      <c r="B8045" s="181">
        <v>52.240571409117948</v>
      </c>
    </row>
    <row r="8046" spans="2:2" ht="15">
      <c r="B8046" s="181">
        <v>28.924532436511804</v>
      </c>
    </row>
    <row r="8047" spans="2:2" ht="15">
      <c r="B8047" s="181">
        <v>10.950986256240121</v>
      </c>
    </row>
    <row r="8048" spans="2:2" ht="15">
      <c r="B8048" s="181">
        <v>13.54110668516806</v>
      </c>
    </row>
    <row r="8049" spans="2:2" ht="15">
      <c r="B8049" s="181">
        <v>12.629455874183131</v>
      </c>
    </row>
    <row r="8050" spans="2:2" ht="15">
      <c r="B8050" s="181">
        <v>16.281240295504222</v>
      </c>
    </row>
    <row r="8051" spans="2:2" ht="15">
      <c r="B8051" s="181">
        <v>34.835624152418134</v>
      </c>
    </row>
    <row r="8052" spans="2:2" ht="15">
      <c r="B8052" s="181">
        <v>13.7872110421272</v>
      </c>
    </row>
    <row r="8053" spans="2:2" ht="15">
      <c r="B8053" s="181">
        <v>42.112581081994485</v>
      </c>
    </row>
    <row r="8054" spans="2:2" ht="15">
      <c r="B8054" s="181">
        <v>29.091756961631059</v>
      </c>
    </row>
    <row r="8055" spans="2:2" ht="15">
      <c r="B8055" s="181">
        <v>13.075818573143899</v>
      </c>
    </row>
    <row r="8056" spans="2:2" ht="15">
      <c r="B8056" s="181">
        <v>19.672500563294381</v>
      </c>
    </row>
    <row r="8057" spans="2:2" ht="15">
      <c r="B8057" s="181">
        <v>15.673060439624603</v>
      </c>
    </row>
    <row r="8058" spans="2:2" ht="15">
      <c r="B8058" s="181">
        <v>4.7023714224174809</v>
      </c>
    </row>
    <row r="8059" spans="2:2" ht="15">
      <c r="B8059" s="181">
        <v>16.095446486707129</v>
      </c>
    </row>
    <row r="8060" spans="2:2" ht="15">
      <c r="B8060" s="181">
        <v>13.874620529510324</v>
      </c>
    </row>
    <row r="8061" spans="2:2" ht="15">
      <c r="B8061" s="181">
        <v>18.38582238081468</v>
      </c>
    </row>
    <row r="8062" spans="2:2" ht="15">
      <c r="B8062" s="181">
        <v>13.607285438936948</v>
      </c>
    </row>
    <row r="8063" spans="2:2" ht="15">
      <c r="B8063" s="181">
        <v>25.006400851514368</v>
      </c>
    </row>
    <row r="8064" spans="2:2" ht="15">
      <c r="B8064" s="181">
        <v>28.31841342696951</v>
      </c>
    </row>
    <row r="8065" spans="2:2" ht="15">
      <c r="B8065" s="181">
        <v>33.597795696185898</v>
      </c>
    </row>
    <row r="8066" spans="2:2" ht="15">
      <c r="B8066" s="181">
        <v>96.389021589708179</v>
      </c>
    </row>
    <row r="8067" spans="2:2" ht="15">
      <c r="B8067" s="181">
        <v>14.913988332867575</v>
      </c>
    </row>
    <row r="8068" spans="2:2" ht="15">
      <c r="B8068" s="181">
        <v>11.922293672485074</v>
      </c>
    </row>
    <row r="8069" spans="2:2" ht="15">
      <c r="B8069" s="181">
        <v>19.072973399256721</v>
      </c>
    </row>
    <row r="8070" spans="2:2" ht="15">
      <c r="B8070" s="181">
        <v>27.156117523756034</v>
      </c>
    </row>
    <row r="8071" spans="2:2" ht="15">
      <c r="B8071" s="181">
        <v>27.186620588085756</v>
      </c>
    </row>
    <row r="8072" spans="2:2" ht="15">
      <c r="B8072" s="181">
        <v>14.738949087864858</v>
      </c>
    </row>
    <row r="8073" spans="2:2" ht="15">
      <c r="B8073" s="181">
        <v>12.972102796034674</v>
      </c>
    </row>
    <row r="8074" spans="2:2" ht="15">
      <c r="B8074" s="181">
        <v>8.1943917181605865</v>
      </c>
    </row>
    <row r="8075" spans="2:2" ht="15">
      <c r="B8075" s="181">
        <v>19.913072699656343</v>
      </c>
    </row>
    <row r="8076" spans="2:2" ht="15">
      <c r="B8076" s="181">
        <v>20.137418074006</v>
      </c>
    </row>
    <row r="8077" spans="2:2" ht="15">
      <c r="B8077" s="181">
        <v>37.414535209406722</v>
      </c>
    </row>
    <row r="8078" spans="2:2" ht="15">
      <c r="B8078" s="181">
        <v>18.894086137399245</v>
      </c>
    </row>
    <row r="8079" spans="2:2" ht="15">
      <c r="B8079" s="181">
        <v>73.419124091526115</v>
      </c>
    </row>
    <row r="8080" spans="2:2" ht="15">
      <c r="B8080" s="181">
        <v>18.146671969879421</v>
      </c>
    </row>
    <row r="8081" spans="2:2" ht="15">
      <c r="B8081" s="181">
        <v>47.549693684991425</v>
      </c>
    </row>
    <row r="8082" spans="2:2" ht="15">
      <c r="B8082" s="181">
        <v>18.979273364668689</v>
      </c>
    </row>
    <row r="8083" spans="2:2" ht="15">
      <c r="B8083" s="181">
        <v>26.131441525915932</v>
      </c>
    </row>
    <row r="8084" spans="2:2" ht="15">
      <c r="B8084" s="181">
        <v>19.362540107492549</v>
      </c>
    </row>
    <row r="8085" spans="2:2" ht="15">
      <c r="B8085" s="181">
        <v>9.9597421723280348</v>
      </c>
    </row>
    <row r="8086" spans="2:2" ht="15">
      <c r="B8086" s="181">
        <v>29.603087371880616</v>
      </c>
    </row>
    <row r="8087" spans="2:2" ht="15">
      <c r="B8087" s="181">
        <v>16.03174257755845</v>
      </c>
    </row>
    <row r="8088" spans="2:2" ht="15">
      <c r="B8088" s="181">
        <v>11.95109797734213</v>
      </c>
    </row>
    <row r="8089" spans="2:2" ht="15">
      <c r="B8089" s="181">
        <v>21.129940052067777</v>
      </c>
    </row>
    <row r="8090" spans="2:2" ht="15">
      <c r="B8090" s="181">
        <v>26.729236196243665</v>
      </c>
    </row>
    <row r="8091" spans="2:2" ht="15">
      <c r="B8091" s="181">
        <v>12.663467217376366</v>
      </c>
    </row>
    <row r="8092" spans="2:2" ht="15">
      <c r="B8092" s="181">
        <v>34.383073195714147</v>
      </c>
    </row>
    <row r="8093" spans="2:2" ht="15">
      <c r="B8093" s="181">
        <v>19.886052445859633</v>
      </c>
    </row>
    <row r="8094" spans="2:2" ht="15">
      <c r="B8094" s="181">
        <v>20.528801575392595</v>
      </c>
    </row>
    <row r="8095" spans="2:2" ht="15">
      <c r="B8095" s="181">
        <v>11.442442939799305</v>
      </c>
    </row>
    <row r="8096" spans="2:2" ht="15">
      <c r="B8096" s="181">
        <v>23.729640750085757</v>
      </c>
    </row>
    <row r="8097" spans="2:2" ht="15">
      <c r="B8097" s="181">
        <v>10.01535935997398</v>
      </c>
    </row>
    <row r="8098" spans="2:2" ht="15">
      <c r="B8098" s="181">
        <v>22.34870350900129</v>
      </c>
    </row>
    <row r="8099" spans="2:2" ht="15">
      <c r="B8099" s="181">
        <v>7.6365250911725138</v>
      </c>
    </row>
    <row r="8100" spans="2:2" ht="15">
      <c r="B8100" s="181">
        <v>15.390748692233558</v>
      </c>
    </row>
    <row r="8101" spans="2:2" ht="15">
      <c r="B8101" s="181">
        <v>22.615440457644048</v>
      </c>
    </row>
    <row r="8102" spans="2:2" ht="15">
      <c r="B8102" s="181">
        <v>18.458846401533734</v>
      </c>
    </row>
    <row r="8103" spans="2:2" ht="15">
      <c r="B8103" s="181">
        <v>14.324330719935528</v>
      </c>
    </row>
    <row r="8104" spans="2:2" ht="15">
      <c r="B8104" s="181">
        <v>18.758540960840882</v>
      </c>
    </row>
    <row r="8105" spans="2:2" ht="15">
      <c r="B8105" s="181">
        <v>15.140763823677347</v>
      </c>
    </row>
    <row r="8106" spans="2:2" ht="15">
      <c r="B8106" s="181">
        <v>25.147542647072349</v>
      </c>
    </row>
    <row r="8107" spans="2:2" ht="15">
      <c r="B8107" s="181">
        <v>22.964380310708464</v>
      </c>
    </row>
    <row r="8108" spans="2:2" ht="15">
      <c r="B8108" s="181">
        <v>12.209844047713434</v>
      </c>
    </row>
    <row r="8109" spans="2:2" ht="15">
      <c r="B8109" s="181">
        <v>21.462321360907339</v>
      </c>
    </row>
    <row r="8110" spans="2:2" ht="15">
      <c r="B8110" s="181">
        <v>10.92148363974486</v>
      </c>
    </row>
    <row r="8111" spans="2:2" ht="15">
      <c r="B8111" s="181">
        <v>30.036834841183708</v>
      </c>
    </row>
    <row r="8112" spans="2:2" ht="15">
      <c r="B8112" s="181">
        <v>19.936238622104064</v>
      </c>
    </row>
    <row r="8113" spans="2:2" ht="15">
      <c r="B8113" s="181">
        <v>23.880926844738411</v>
      </c>
    </row>
    <row r="8114" spans="2:2" ht="15">
      <c r="B8114" s="181">
        <v>8.460431654723374</v>
      </c>
    </row>
    <row r="8115" spans="2:2" ht="15">
      <c r="B8115" s="181">
        <v>14.3441479392374</v>
      </c>
    </row>
    <row r="8116" spans="2:2" ht="15">
      <c r="B8116" s="181">
        <v>32.911863509200529</v>
      </c>
    </row>
    <row r="8117" spans="2:2" ht="15">
      <c r="B8117" s="181">
        <v>45.19213261677865</v>
      </c>
    </row>
    <row r="8118" spans="2:2" ht="15">
      <c r="B8118" s="181">
        <v>29.794027093210101</v>
      </c>
    </row>
    <row r="8119" spans="2:2" ht="15">
      <c r="B8119" s="181">
        <v>27.096842328548181</v>
      </c>
    </row>
    <row r="8120" spans="2:2" ht="15">
      <c r="B8120" s="181">
        <v>17.069805822376793</v>
      </c>
    </row>
    <row r="8121" spans="2:2" ht="15">
      <c r="B8121" s="181">
        <v>52.100963474443397</v>
      </c>
    </row>
    <row r="8122" spans="2:2" ht="15">
      <c r="B8122" s="181">
        <v>13.788345197754291</v>
      </c>
    </row>
    <row r="8123" spans="2:2" ht="15">
      <c r="B8123" s="181">
        <v>21.386441477185361</v>
      </c>
    </row>
    <row r="8124" spans="2:2" ht="15">
      <c r="B8124" s="181">
        <v>31.002126273555508</v>
      </c>
    </row>
    <row r="8125" spans="2:2" ht="15">
      <c r="B8125" s="181">
        <v>15.200541400933439</v>
      </c>
    </row>
    <row r="8126" spans="2:2" ht="15">
      <c r="B8126" s="181">
        <v>42.724662301336764</v>
      </c>
    </row>
    <row r="8127" spans="2:2" ht="15">
      <c r="B8127" s="181">
        <v>7.9251186390493906</v>
      </c>
    </row>
    <row r="8128" spans="2:2" ht="15">
      <c r="B8128" s="181">
        <v>13.508952837682376</v>
      </c>
    </row>
    <row r="8129" spans="2:2" ht="15">
      <c r="B8129" s="181">
        <v>37.124554759908712</v>
      </c>
    </row>
    <row r="8130" spans="2:2" ht="15">
      <c r="B8130" s="181">
        <v>16.021056905627351</v>
      </c>
    </row>
    <row r="8131" spans="2:2" ht="15">
      <c r="B8131" s="181">
        <v>6.4467500321298941</v>
      </c>
    </row>
    <row r="8132" spans="2:2" ht="15">
      <c r="B8132" s="181">
        <v>9.9587736630995813</v>
      </c>
    </row>
    <row r="8133" spans="2:2" ht="15">
      <c r="B8133" s="181">
        <v>23.501612653211954</v>
      </c>
    </row>
    <row r="8134" spans="2:2" ht="15">
      <c r="B8134" s="181">
        <v>16.670638123522057</v>
      </c>
    </row>
    <row r="8135" spans="2:2" ht="15">
      <c r="B8135" s="181">
        <v>56.596734782174323</v>
      </c>
    </row>
    <row r="8136" spans="2:2" ht="15">
      <c r="B8136" s="181">
        <v>34.313796602142233</v>
      </c>
    </row>
    <row r="8137" spans="2:2" ht="15">
      <c r="B8137" s="181">
        <v>29.9999821187387</v>
      </c>
    </row>
    <row r="8138" spans="2:2" ht="15">
      <c r="B8138" s="181">
        <v>14.918187850224129</v>
      </c>
    </row>
    <row r="8139" spans="2:2" ht="15">
      <c r="B8139" s="181">
        <v>31.721207424001172</v>
      </c>
    </row>
    <row r="8140" spans="2:2" ht="15">
      <c r="B8140" s="181">
        <v>6.766000899545439</v>
      </c>
    </row>
    <row r="8141" spans="2:2" ht="15">
      <c r="B8141" s="181">
        <v>19.771751175834975</v>
      </c>
    </row>
    <row r="8142" spans="2:2" ht="15">
      <c r="B8142" s="181">
        <v>21.566937271776855</v>
      </c>
    </row>
    <row r="8143" spans="2:2" ht="15">
      <c r="B8143" s="181">
        <v>24.410600607377049</v>
      </c>
    </row>
    <row r="8144" spans="2:2" ht="15">
      <c r="B8144" s="181">
        <v>8.2828026267886674</v>
      </c>
    </row>
    <row r="8145" spans="2:2" ht="15">
      <c r="B8145" s="181">
        <v>17.544786953596812</v>
      </c>
    </row>
    <row r="8146" spans="2:2" ht="15">
      <c r="B8146" s="181">
        <v>18.752098313125863</v>
      </c>
    </row>
    <row r="8147" spans="2:2" ht="15">
      <c r="B8147" s="181">
        <v>22.501438631619017</v>
      </c>
    </row>
    <row r="8148" spans="2:2" ht="15">
      <c r="B8148" s="181">
        <v>16.007922898165738</v>
      </c>
    </row>
    <row r="8149" spans="2:2" ht="15">
      <c r="B8149" s="181">
        <v>31.679772933833064</v>
      </c>
    </row>
    <row r="8150" spans="2:2" ht="15">
      <c r="B8150" s="181">
        <v>29.635584910577222</v>
      </c>
    </row>
    <row r="8151" spans="2:2" ht="15">
      <c r="B8151" s="181">
        <v>36.890440558247178</v>
      </c>
    </row>
    <row r="8152" spans="2:2" ht="15">
      <c r="B8152" s="181">
        <v>22.011363106473333</v>
      </c>
    </row>
    <row r="8153" spans="2:2" ht="15">
      <c r="B8153" s="181">
        <v>38.275482452218654</v>
      </c>
    </row>
    <row r="8154" spans="2:2" ht="15">
      <c r="B8154" s="181">
        <v>14.6288733321724</v>
      </c>
    </row>
    <row r="8155" spans="2:2" ht="15">
      <c r="B8155" s="181">
        <v>10.961374243023151</v>
      </c>
    </row>
    <row r="8156" spans="2:2" ht="15">
      <c r="B8156" s="181">
        <v>10.323296950096154</v>
      </c>
    </row>
    <row r="8157" spans="2:2" ht="15">
      <c r="B8157" s="181">
        <v>14.81208537457527</v>
      </c>
    </row>
    <row r="8158" spans="2:2" ht="15">
      <c r="B8158" s="181">
        <v>41.337364295008413</v>
      </c>
    </row>
    <row r="8159" spans="2:2" ht="15">
      <c r="B8159" s="181">
        <v>14.129136532849873</v>
      </c>
    </row>
    <row r="8160" spans="2:2" ht="15">
      <c r="B8160" s="181">
        <v>41.641126343207411</v>
      </c>
    </row>
    <row r="8161" spans="2:2" ht="15">
      <c r="B8161" s="181">
        <v>26.315187843143537</v>
      </c>
    </row>
    <row r="8162" spans="2:2" ht="15">
      <c r="B8162" s="181">
        <v>50.159808208452866</v>
      </c>
    </row>
    <row r="8163" spans="2:2" ht="15">
      <c r="B8163" s="181">
        <v>22.096279297903351</v>
      </c>
    </row>
    <row r="8164" spans="2:2" ht="15">
      <c r="B8164" s="181">
        <v>9.9239849558272741</v>
      </c>
    </row>
    <row r="8165" spans="2:2" ht="15">
      <c r="B8165" s="181">
        <v>9.2810858648536687</v>
      </c>
    </row>
    <row r="8166" spans="2:2" ht="15">
      <c r="B8166" s="181">
        <v>28.868467789618215</v>
      </c>
    </row>
    <row r="8167" spans="2:2" ht="15">
      <c r="B8167" s="181">
        <v>19.622842717852183</v>
      </c>
    </row>
    <row r="8168" spans="2:2" ht="15">
      <c r="B8168" s="181">
        <v>20.644944361362597</v>
      </c>
    </row>
    <row r="8169" spans="2:2" ht="15">
      <c r="B8169" s="181">
        <v>18.489684338089518</v>
      </c>
    </row>
    <row r="8170" spans="2:2" ht="15">
      <c r="B8170" s="181">
        <v>17.300063008400098</v>
      </c>
    </row>
    <row r="8171" spans="2:2" ht="15">
      <c r="B8171" s="181">
        <v>12.332300955212526</v>
      </c>
    </row>
    <row r="8172" spans="2:2" ht="15">
      <c r="B8172" s="181">
        <v>24.777555098902173</v>
      </c>
    </row>
    <row r="8173" spans="2:2" ht="15">
      <c r="B8173" s="181">
        <v>29.262307551700733</v>
      </c>
    </row>
    <row r="8174" spans="2:2" ht="15">
      <c r="B8174" s="181">
        <v>16.696023718158795</v>
      </c>
    </row>
    <row r="8175" spans="2:2" ht="15">
      <c r="B8175" s="181">
        <v>20.568996244298553</v>
      </c>
    </row>
    <row r="8176" spans="2:2" ht="15">
      <c r="B8176" s="181">
        <v>18.266356224575368</v>
      </c>
    </row>
    <row r="8177" spans="2:2" ht="15">
      <c r="B8177" s="181">
        <v>12.24994046760126</v>
      </c>
    </row>
    <row r="8178" spans="2:2" ht="15">
      <c r="B8178" s="181">
        <v>11.420547088788314</v>
      </c>
    </row>
    <row r="8179" spans="2:2" ht="15">
      <c r="B8179" s="181">
        <v>52.360733919854532</v>
      </c>
    </row>
    <row r="8180" spans="2:2" ht="15">
      <c r="B8180" s="181">
        <v>16.536171369723498</v>
      </c>
    </row>
    <row r="8181" spans="2:2" ht="15">
      <c r="B8181" s="181">
        <v>17.008011641539039</v>
      </c>
    </row>
    <row r="8182" spans="2:2" ht="15">
      <c r="B8182" s="181">
        <v>9.4120751398311864</v>
      </c>
    </row>
    <row r="8183" spans="2:2" ht="15">
      <c r="B8183" s="181">
        <v>37.846941159873921</v>
      </c>
    </row>
    <row r="8184" spans="2:2" ht="15">
      <c r="B8184" s="181">
        <v>14.73935362801506</v>
      </c>
    </row>
    <row r="8185" spans="2:2" ht="15">
      <c r="B8185" s="181">
        <v>24.382002007360231</v>
      </c>
    </row>
    <row r="8186" spans="2:2" ht="15">
      <c r="B8186" s="181">
        <v>6.9897528301031571</v>
      </c>
    </row>
    <row r="8187" spans="2:2" ht="15">
      <c r="B8187" s="181">
        <v>15.628931570161548</v>
      </c>
    </row>
    <row r="8188" spans="2:2" ht="15">
      <c r="B8188" s="181">
        <v>21.091347853417663</v>
      </c>
    </row>
    <row r="8189" spans="2:2" ht="15">
      <c r="B8189" s="181">
        <v>25.117181300528284</v>
      </c>
    </row>
    <row r="8190" spans="2:2" ht="15">
      <c r="B8190" s="181">
        <v>14.819097925607638</v>
      </c>
    </row>
    <row r="8191" spans="2:2" ht="15">
      <c r="B8191" s="181">
        <v>15.167240489567794</v>
      </c>
    </row>
    <row r="8192" spans="2:2" ht="15">
      <c r="B8192" s="181">
        <v>13.031183262474022</v>
      </c>
    </row>
    <row r="8193" spans="2:2" ht="15">
      <c r="B8193" s="181">
        <v>12.721267679530795</v>
      </c>
    </row>
    <row r="8194" spans="2:2" ht="15">
      <c r="B8194" s="181">
        <v>5.4118563257193468</v>
      </c>
    </row>
    <row r="8195" spans="2:2" ht="15">
      <c r="B8195" s="181">
        <v>9.523718516026209</v>
      </c>
    </row>
    <row r="8196" spans="2:2" ht="15">
      <c r="B8196" s="181">
        <v>14.871665496581274</v>
      </c>
    </row>
    <row r="8197" spans="2:2" ht="15">
      <c r="B8197" s="181">
        <v>15.010409319431663</v>
      </c>
    </row>
    <row r="8198" spans="2:2" ht="15">
      <c r="B8198" s="181">
        <v>21.94192945108281</v>
      </c>
    </row>
    <row r="8199" spans="2:2" ht="15">
      <c r="B8199" s="181">
        <v>15.060591798913316</v>
      </c>
    </row>
    <row r="8200" spans="2:2" ht="15">
      <c r="B8200" s="181">
        <v>40.502439876781054</v>
      </c>
    </row>
    <row r="8201" spans="2:2" ht="15">
      <c r="B8201" s="181">
        <v>10.128551540422796</v>
      </c>
    </row>
    <row r="8202" spans="2:2" ht="15">
      <c r="B8202" s="181">
        <v>26.475448756937894</v>
      </c>
    </row>
    <row r="8203" spans="2:2" ht="15">
      <c r="B8203" s="181">
        <v>37.194256834463992</v>
      </c>
    </row>
    <row r="8204" spans="2:2" ht="15">
      <c r="B8204" s="181">
        <v>19.658194437594066</v>
      </c>
    </row>
    <row r="8205" spans="2:2" ht="15">
      <c r="B8205" s="181">
        <v>34.442471078305275</v>
      </c>
    </row>
    <row r="8206" spans="2:2" ht="15">
      <c r="B8206" s="181">
        <v>27.282282138249233</v>
      </c>
    </row>
    <row r="8207" spans="2:2" ht="15">
      <c r="B8207" s="181">
        <v>8.1751480467505537</v>
      </c>
    </row>
    <row r="8208" spans="2:2" ht="15">
      <c r="B8208" s="181">
        <v>13.799383554127775</v>
      </c>
    </row>
    <row r="8209" spans="2:2" ht="15">
      <c r="B8209" s="181">
        <v>17.442112509988544</v>
      </c>
    </row>
    <row r="8210" spans="2:2" ht="15">
      <c r="B8210" s="181">
        <v>24.778134700945902</v>
      </c>
    </row>
    <row r="8211" spans="2:2" ht="15">
      <c r="B8211" s="181">
        <v>11.643598707671215</v>
      </c>
    </row>
    <row r="8212" spans="2:2" ht="15">
      <c r="B8212" s="181">
        <v>5.4281287642402392</v>
      </c>
    </row>
    <row r="8213" spans="2:2" ht="15">
      <c r="B8213" s="181">
        <v>14.701908855940118</v>
      </c>
    </row>
    <row r="8214" spans="2:2" ht="15">
      <c r="B8214" s="181">
        <v>25.550993412264976</v>
      </c>
    </row>
    <row r="8215" spans="2:2" ht="15">
      <c r="B8215" s="181">
        <v>19.342363136044568</v>
      </c>
    </row>
    <row r="8216" spans="2:2" ht="15">
      <c r="B8216" s="181">
        <v>29.232140708210704</v>
      </c>
    </row>
    <row r="8217" spans="2:2" ht="15">
      <c r="B8217" s="181">
        <v>24.721746031542658</v>
      </c>
    </row>
    <row r="8218" spans="2:2" ht="15">
      <c r="B8218" s="181">
        <v>11.156663244550197</v>
      </c>
    </row>
    <row r="8219" spans="2:2" ht="15">
      <c r="B8219" s="181">
        <v>12.442474403179565</v>
      </c>
    </row>
    <row r="8220" spans="2:2" ht="15">
      <c r="B8220" s="181">
        <v>11.813673500799641</v>
      </c>
    </row>
    <row r="8221" spans="2:2" ht="15">
      <c r="B8221" s="181">
        <v>18.255434424185857</v>
      </c>
    </row>
    <row r="8222" spans="2:2" ht="15">
      <c r="B8222" s="181">
        <v>47.638592646578275</v>
      </c>
    </row>
    <row r="8223" spans="2:2" ht="15">
      <c r="B8223" s="181">
        <v>22.914275412518137</v>
      </c>
    </row>
    <row r="8224" spans="2:2" ht="15">
      <c r="B8224" s="181">
        <v>16.946260179180719</v>
      </c>
    </row>
    <row r="8225" spans="2:2" ht="15">
      <c r="B8225" s="181">
        <v>23.93148530787559</v>
      </c>
    </row>
    <row r="8226" spans="2:2" ht="15">
      <c r="B8226" s="181">
        <v>6.7696101808407887</v>
      </c>
    </row>
    <row r="8227" spans="2:2" ht="15">
      <c r="B8227" s="181">
        <v>14.177135018262442</v>
      </c>
    </row>
    <row r="8228" spans="2:2" ht="15">
      <c r="B8228" s="181">
        <v>25.109292383109445</v>
      </c>
    </row>
    <row r="8229" spans="2:2" ht="15">
      <c r="B8229" s="181">
        <v>17.591536250848765</v>
      </c>
    </row>
    <row r="8230" spans="2:2" ht="15">
      <c r="B8230" s="181">
        <v>35.272978330596771</v>
      </c>
    </row>
    <row r="8231" spans="2:2" ht="15">
      <c r="B8231" s="181">
        <v>31.25965519677116</v>
      </c>
    </row>
    <row r="8232" spans="2:2" ht="15">
      <c r="B8232" s="181">
        <v>33.655824749090584</v>
      </c>
    </row>
    <row r="8233" spans="2:2" ht="15">
      <c r="B8233" s="181">
        <v>6.1476571409710417</v>
      </c>
    </row>
    <row r="8234" spans="2:2" ht="15">
      <c r="B8234" s="181">
        <v>28.872200320417019</v>
      </c>
    </row>
    <row r="8235" spans="2:2" ht="15">
      <c r="B8235" s="181">
        <v>18.934873470082529</v>
      </c>
    </row>
    <row r="8236" spans="2:2" ht="15">
      <c r="B8236" s="181">
        <v>17.558810220541378</v>
      </c>
    </row>
    <row r="8237" spans="2:2" ht="15">
      <c r="B8237" s="181">
        <v>35.944530818979672</v>
      </c>
    </row>
    <row r="8238" spans="2:2" ht="15">
      <c r="B8238" s="181">
        <v>19.136274792965132</v>
      </c>
    </row>
    <row r="8239" spans="2:2" ht="15">
      <c r="B8239" s="181">
        <v>21.325510247211771</v>
      </c>
    </row>
    <row r="8240" spans="2:2" ht="15">
      <c r="B8240" s="181">
        <v>18.493137302714409</v>
      </c>
    </row>
    <row r="8241" spans="2:2" ht="15">
      <c r="B8241" s="181">
        <v>30.543200128918752</v>
      </c>
    </row>
    <row r="8242" spans="2:2" ht="15">
      <c r="B8242" s="181">
        <v>14.090640040068845</v>
      </c>
    </row>
    <row r="8243" spans="2:2" ht="15">
      <c r="B8243" s="181">
        <v>24.150228595142234</v>
      </c>
    </row>
    <row r="8244" spans="2:2" ht="15">
      <c r="B8244" s="181">
        <v>25.06115276459612</v>
      </c>
    </row>
    <row r="8245" spans="2:2" ht="15">
      <c r="B8245" s="181">
        <v>22.042729637590359</v>
      </c>
    </row>
    <row r="8246" spans="2:2" ht="15">
      <c r="B8246" s="181">
        <v>22.733599612356777</v>
      </c>
    </row>
    <row r="8247" spans="2:2" ht="15">
      <c r="B8247" s="181">
        <v>23.089324986881344</v>
      </c>
    </row>
    <row r="8248" spans="2:2" ht="15">
      <c r="B8248" s="181">
        <v>23.026879598421417</v>
      </c>
    </row>
    <row r="8249" spans="2:2" ht="15">
      <c r="B8249" s="181">
        <v>20.766500684336652</v>
      </c>
    </row>
    <row r="8250" spans="2:2" ht="15">
      <c r="B8250" s="181">
        <v>15.656622288636624</v>
      </c>
    </row>
    <row r="8251" spans="2:2" ht="15">
      <c r="B8251" s="181">
        <v>15.74390704420153</v>
      </c>
    </row>
    <row r="8252" spans="2:2" ht="15">
      <c r="B8252" s="181">
        <v>22.089311693611538</v>
      </c>
    </row>
    <row r="8253" spans="2:2" ht="15">
      <c r="B8253" s="181">
        <v>9.7229863421516693</v>
      </c>
    </row>
    <row r="8254" spans="2:2" ht="15">
      <c r="B8254" s="181">
        <v>14.491197176477415</v>
      </c>
    </row>
    <row r="8255" spans="2:2" ht="15">
      <c r="B8255" s="181">
        <v>51.196860987513304</v>
      </c>
    </row>
    <row r="8256" spans="2:2" ht="15">
      <c r="B8256" s="181">
        <v>15.665861731130734</v>
      </c>
    </row>
    <row r="8257" spans="2:2" ht="15">
      <c r="B8257" s="181">
        <v>22.653434115104275</v>
      </c>
    </row>
    <row r="8258" spans="2:2" ht="15">
      <c r="B8258" s="181">
        <v>26.27581230583904</v>
      </c>
    </row>
    <row r="8259" spans="2:2" ht="15">
      <c r="B8259" s="181">
        <v>16.643837571458839</v>
      </c>
    </row>
    <row r="8260" spans="2:2" ht="15">
      <c r="B8260" s="181">
        <v>14.365581696122765</v>
      </c>
    </row>
    <row r="8261" spans="2:2" ht="15">
      <c r="B8261" s="181">
        <v>15.063198414613018</v>
      </c>
    </row>
    <row r="8262" spans="2:2" ht="15">
      <c r="B8262" s="181">
        <v>8.1051377146638135</v>
      </c>
    </row>
    <row r="8263" spans="2:2" ht="15">
      <c r="B8263" s="181">
        <v>9.2647879194366674</v>
      </c>
    </row>
    <row r="8264" spans="2:2" ht="15">
      <c r="B8264" s="181">
        <v>18.027369076601609</v>
      </c>
    </row>
    <row r="8265" spans="2:2" ht="15">
      <c r="B8265" s="181">
        <v>6.7826730137548932</v>
      </c>
    </row>
    <row r="8266" spans="2:2" ht="15">
      <c r="B8266" s="181">
        <v>9.0571598464417704</v>
      </c>
    </row>
    <row r="8267" spans="2:2" ht="15">
      <c r="B8267" s="181">
        <v>12.266046151304122</v>
      </c>
    </row>
    <row r="8268" spans="2:2" ht="15">
      <c r="B8268" s="181">
        <v>9.9223236836363053</v>
      </c>
    </row>
    <row r="8269" spans="2:2" ht="15">
      <c r="B8269" s="181">
        <v>18.59780801583376</v>
      </c>
    </row>
    <row r="8270" spans="2:2" ht="15">
      <c r="B8270" s="181">
        <v>20.968648833394141</v>
      </c>
    </row>
    <row r="8271" spans="2:2" ht="15">
      <c r="B8271" s="181">
        <v>10.803608314481547</v>
      </c>
    </row>
    <row r="8272" spans="2:2" ht="15">
      <c r="B8272" s="181">
        <v>16.510884237544129</v>
      </c>
    </row>
    <row r="8273" spans="2:2" ht="15">
      <c r="B8273" s="181">
        <v>31.564726658378348</v>
      </c>
    </row>
    <row r="8274" spans="2:2" ht="15">
      <c r="B8274" s="181">
        <v>32.16997996973214</v>
      </c>
    </row>
    <row r="8275" spans="2:2" ht="15">
      <c r="B8275" s="181">
        <v>61.555938969589242</v>
      </c>
    </row>
    <row r="8276" spans="2:2" ht="15">
      <c r="B8276" s="181">
        <v>18.349583824663057</v>
      </c>
    </row>
    <row r="8277" spans="2:2" ht="15">
      <c r="B8277" s="181">
        <v>14.810593184412239</v>
      </c>
    </row>
    <row r="8278" spans="2:2" ht="15">
      <c r="B8278" s="181">
        <v>24.115724543885204</v>
      </c>
    </row>
    <row r="8279" spans="2:2" ht="15">
      <c r="B8279" s="181">
        <v>19.676854302103333</v>
      </c>
    </row>
    <row r="8280" spans="2:2" ht="15">
      <c r="B8280" s="181">
        <v>7.9231883614358578</v>
      </c>
    </row>
    <row r="8281" spans="2:2" ht="15">
      <c r="B8281" s="181">
        <v>12.853162198692258</v>
      </c>
    </row>
    <row r="8282" spans="2:2" ht="15">
      <c r="B8282" s="181">
        <v>11.663657873773316</v>
      </c>
    </row>
    <row r="8283" spans="2:2" ht="15">
      <c r="B8283" s="181">
        <v>20.130307786616573</v>
      </c>
    </row>
    <row r="8284" spans="2:2" ht="15">
      <c r="B8284" s="181">
        <v>30.05384447624467</v>
      </c>
    </row>
    <row r="8285" spans="2:2" ht="15">
      <c r="B8285" s="181">
        <v>17.034966921893755</v>
      </c>
    </row>
    <row r="8286" spans="2:2" ht="15">
      <c r="B8286" s="181">
        <v>20.957674485248507</v>
      </c>
    </row>
    <row r="8287" spans="2:2" ht="15">
      <c r="B8287" s="181">
        <v>27.565581530186261</v>
      </c>
    </row>
    <row r="8288" spans="2:2" ht="15">
      <c r="B8288" s="181">
        <v>22.236148390978766</v>
      </c>
    </row>
    <row r="8289" spans="2:2" ht="15">
      <c r="B8289" s="181">
        <v>24.842055511026992</v>
      </c>
    </row>
    <row r="8290" spans="2:2" ht="15">
      <c r="B8290" s="181">
        <v>43.588643855306771</v>
      </c>
    </row>
    <row r="8291" spans="2:2" ht="15">
      <c r="B8291" s="181">
        <v>22.498591275221084</v>
      </c>
    </row>
    <row r="8292" spans="2:2" ht="15">
      <c r="B8292" s="181">
        <v>43.9502140952861</v>
      </c>
    </row>
    <row r="8293" spans="2:2" ht="15">
      <c r="B8293" s="181">
        <v>19.698162502743951</v>
      </c>
    </row>
    <row r="8294" spans="2:2" ht="15">
      <c r="B8294" s="181">
        <v>10.9870507222464</v>
      </c>
    </row>
    <row r="8295" spans="2:2" ht="15">
      <c r="B8295" s="181">
        <v>22.346425208615727</v>
      </c>
    </row>
    <row r="8296" spans="2:2" ht="15">
      <c r="B8296" s="181">
        <v>45.497575993111703</v>
      </c>
    </row>
    <row r="8297" spans="2:2" ht="15">
      <c r="B8297" s="181">
        <v>21.293513682382844</v>
      </c>
    </row>
    <row r="8298" spans="2:2" ht="15">
      <c r="B8298" s="181">
        <v>10.84265972397783</v>
      </c>
    </row>
    <row r="8299" spans="2:2" ht="15">
      <c r="B8299" s="181">
        <v>19.335333990112868</v>
      </c>
    </row>
    <row r="8300" spans="2:2" ht="15">
      <c r="B8300" s="181">
        <v>5.1479147667327281</v>
      </c>
    </row>
    <row r="8301" spans="2:2" ht="15">
      <c r="B8301" s="181">
        <v>10.932483403473416</v>
      </c>
    </row>
    <row r="8302" spans="2:2" ht="15">
      <c r="B8302" s="181">
        <v>24.233163168793229</v>
      </c>
    </row>
    <row r="8303" spans="2:2" ht="15">
      <c r="B8303" s="181">
        <v>14.210562481435213</v>
      </c>
    </row>
    <row r="8304" spans="2:2" ht="15">
      <c r="B8304" s="181">
        <v>16.095160423669668</v>
      </c>
    </row>
    <row r="8305" spans="2:2" ht="15">
      <c r="B8305" s="181">
        <v>6.4009949046174484</v>
      </c>
    </row>
    <row r="8306" spans="2:2" ht="15">
      <c r="B8306" s="181">
        <v>14.368414281803284</v>
      </c>
    </row>
    <row r="8307" spans="2:2" ht="15">
      <c r="B8307" s="181">
        <v>29.857466048336271</v>
      </c>
    </row>
    <row r="8308" spans="2:2" ht="15">
      <c r="B8308" s="181">
        <v>12.441383263050287</v>
      </c>
    </row>
    <row r="8309" spans="2:2" ht="15">
      <c r="B8309" s="181">
        <v>17.694442269096406</v>
      </c>
    </row>
    <row r="8310" spans="2:2" ht="15">
      <c r="B8310" s="181">
        <v>14.269908307805844</v>
      </c>
    </row>
    <row r="8311" spans="2:2" ht="15">
      <c r="B8311" s="181">
        <v>10.363035691791026</v>
      </c>
    </row>
    <row r="8312" spans="2:2" ht="15">
      <c r="B8312" s="181">
        <v>11.36813031359365</v>
      </c>
    </row>
    <row r="8313" spans="2:2" ht="15">
      <c r="B8313" s="181">
        <v>18.955620385544787</v>
      </c>
    </row>
    <row r="8314" spans="2:2" ht="15">
      <c r="B8314" s="181">
        <v>7.838297090908668</v>
      </c>
    </row>
    <row r="8315" spans="2:2" ht="15">
      <c r="B8315" s="181">
        <v>14.553145120708493</v>
      </c>
    </row>
    <row r="8316" spans="2:2" ht="15">
      <c r="B8316" s="181">
        <v>32.2353457761035</v>
      </c>
    </row>
    <row r="8317" spans="2:2" ht="15">
      <c r="B8317" s="181">
        <v>17.835748209899016</v>
      </c>
    </row>
    <row r="8318" spans="2:2" ht="15">
      <c r="B8318" s="181">
        <v>10.149590239829706</v>
      </c>
    </row>
    <row r="8319" spans="2:2" ht="15">
      <c r="B8319" s="181">
        <v>11.241369162482195</v>
      </c>
    </row>
    <row r="8320" spans="2:2" ht="15">
      <c r="B8320" s="181">
        <v>12.253196789938286</v>
      </c>
    </row>
    <row r="8321" spans="2:2" ht="15">
      <c r="B8321" s="181">
        <v>11.12507818077852</v>
      </c>
    </row>
    <row r="8322" spans="2:2" ht="15">
      <c r="B8322" s="181">
        <v>23.498843626466183</v>
      </c>
    </row>
    <row r="8323" spans="2:2" ht="15">
      <c r="B8323" s="181">
        <v>48.433068282526897</v>
      </c>
    </row>
    <row r="8324" spans="2:2" ht="15">
      <c r="B8324" s="181">
        <v>29.791608041309722</v>
      </c>
    </row>
    <row r="8325" spans="2:2" ht="15">
      <c r="B8325" s="181">
        <v>18.189242348109811</v>
      </c>
    </row>
    <row r="8326" spans="2:2" ht="15">
      <c r="B8326" s="181">
        <v>31.478218058713001</v>
      </c>
    </row>
    <row r="8327" spans="2:2" ht="15">
      <c r="B8327" s="181">
        <v>22.973732979947311</v>
      </c>
    </row>
    <row r="8328" spans="2:2" ht="15">
      <c r="B8328" s="181">
        <v>25.201506302886436</v>
      </c>
    </row>
    <row r="8329" spans="2:2" ht="15">
      <c r="B8329" s="181">
        <v>10.495611396751855</v>
      </c>
    </row>
    <row r="8330" spans="2:2" ht="15">
      <c r="B8330" s="181">
        <v>22.134770421614927</v>
      </c>
    </row>
    <row r="8331" spans="2:2" ht="15">
      <c r="B8331" s="181">
        <v>10.97175135017037</v>
      </c>
    </row>
    <row r="8332" spans="2:2" ht="15">
      <c r="B8332" s="181">
        <v>23.352161360745946</v>
      </c>
    </row>
    <row r="8333" spans="2:2" ht="15">
      <c r="B8333" s="181">
        <v>19.86045943294479</v>
      </c>
    </row>
    <row r="8334" spans="2:2" ht="15">
      <c r="B8334" s="181">
        <v>43.680254225100441</v>
      </c>
    </row>
    <row r="8335" spans="2:2" ht="15">
      <c r="B8335" s="181">
        <v>25.057619204107855</v>
      </c>
    </row>
    <row r="8336" spans="2:2" ht="15">
      <c r="B8336" s="181">
        <v>27.678598047611548</v>
      </c>
    </row>
    <row r="8337" spans="2:2" ht="15">
      <c r="B8337" s="181">
        <v>37.09504614938178</v>
      </c>
    </row>
    <row r="8338" spans="2:2" ht="15">
      <c r="B8338" s="181">
        <v>42.085788527383649</v>
      </c>
    </row>
    <row r="8339" spans="2:2" ht="15">
      <c r="B8339" s="181">
        <v>25.218530491656377</v>
      </c>
    </row>
    <row r="8340" spans="2:2" ht="15">
      <c r="B8340" s="181">
        <v>21.062776733123993</v>
      </c>
    </row>
    <row r="8341" spans="2:2" ht="15">
      <c r="B8341" s="181">
        <v>26.497467258455046</v>
      </c>
    </row>
    <row r="8342" spans="2:2" ht="15">
      <c r="B8342" s="181">
        <v>17.77772209930313</v>
      </c>
    </row>
    <row r="8343" spans="2:2" ht="15">
      <c r="B8343" s="181">
        <v>44.767960771908889</v>
      </c>
    </row>
    <row r="8344" spans="2:2" ht="15">
      <c r="B8344" s="181">
        <v>21.398205655503517</v>
      </c>
    </row>
    <row r="8345" spans="2:2" ht="15">
      <c r="B8345" s="181">
        <v>29.084646778766487</v>
      </c>
    </row>
    <row r="8346" spans="2:2" ht="15">
      <c r="B8346" s="181">
        <v>17.659901101113256</v>
      </c>
    </row>
    <row r="8347" spans="2:2" ht="15">
      <c r="B8347" s="181">
        <v>9.4091638320231361</v>
      </c>
    </row>
    <row r="8348" spans="2:2" ht="15">
      <c r="B8348" s="181">
        <v>30.728742365566386</v>
      </c>
    </row>
    <row r="8349" spans="2:2" ht="15">
      <c r="B8349" s="181">
        <v>22.266646401892721</v>
      </c>
    </row>
    <row r="8350" spans="2:2" ht="15">
      <c r="B8350" s="181">
        <v>13.73978659182248</v>
      </c>
    </row>
    <row r="8351" spans="2:2" ht="15">
      <c r="B8351" s="181">
        <v>12.505194219457259</v>
      </c>
    </row>
    <row r="8352" spans="2:2" ht="15">
      <c r="B8352" s="181">
        <v>11.046947771128886</v>
      </c>
    </row>
    <row r="8353" spans="2:2" ht="15">
      <c r="B8353" s="181">
        <v>21.161619544460855</v>
      </c>
    </row>
    <row r="8354" spans="2:2" ht="15">
      <c r="B8354" s="181">
        <v>13.682536822112505</v>
      </c>
    </row>
    <row r="8355" spans="2:2" ht="15">
      <c r="B8355" s="181">
        <v>6.3925083237448863</v>
      </c>
    </row>
    <row r="8356" spans="2:2" ht="15">
      <c r="B8356" s="181">
        <v>11.663771696524218</v>
      </c>
    </row>
    <row r="8357" spans="2:2" ht="15">
      <c r="B8357" s="181">
        <v>9.4524727072137864</v>
      </c>
    </row>
    <row r="8358" spans="2:2" ht="15">
      <c r="B8358" s="181">
        <v>15.531791361659947</v>
      </c>
    </row>
    <row r="8359" spans="2:2" ht="15">
      <c r="B8359" s="181">
        <v>46.403927409957831</v>
      </c>
    </row>
    <row r="8360" spans="2:2" ht="15">
      <c r="B8360" s="181">
        <v>11.872114759547628</v>
      </c>
    </row>
    <row r="8361" spans="2:2" ht="15">
      <c r="B8361" s="181">
        <v>10.831666139472423</v>
      </c>
    </row>
    <row r="8362" spans="2:2" ht="15">
      <c r="B8362" s="181">
        <v>33.473698815248284</v>
      </c>
    </row>
    <row r="8363" spans="2:2" ht="15">
      <c r="B8363" s="181">
        <v>65.523075868869626</v>
      </c>
    </row>
    <row r="8364" spans="2:2" ht="15">
      <c r="B8364" s="181">
        <v>25.50887654407385</v>
      </c>
    </row>
    <row r="8365" spans="2:2" ht="15">
      <c r="B8365" s="181">
        <v>18.920537065999678</v>
      </c>
    </row>
    <row r="8366" spans="2:2" ht="15">
      <c r="B8366" s="181">
        <v>26.071364492767476</v>
      </c>
    </row>
    <row r="8367" spans="2:2" ht="15">
      <c r="B8367" s="181">
        <v>16.060941025854298</v>
      </c>
    </row>
    <row r="8368" spans="2:2" ht="15">
      <c r="B8368" s="181">
        <v>19.922897635188576</v>
      </c>
    </row>
    <row r="8369" spans="2:2" ht="15">
      <c r="B8369" s="181">
        <v>23.084425977492213</v>
      </c>
    </row>
    <row r="8370" spans="2:2" ht="15">
      <c r="B8370" s="181">
        <v>22.799968532563977</v>
      </c>
    </row>
    <row r="8371" spans="2:2" ht="15">
      <c r="B8371" s="181">
        <v>36.934077852082382</v>
      </c>
    </row>
    <row r="8372" spans="2:2" ht="15">
      <c r="B8372" s="181">
        <v>18.54898933041256</v>
      </c>
    </row>
    <row r="8373" spans="2:2" ht="15">
      <c r="B8373" s="181">
        <v>25.559270539631672</v>
      </c>
    </row>
    <row r="8374" spans="2:2" ht="15">
      <c r="B8374" s="181">
        <v>24.587783842568339</v>
      </c>
    </row>
    <row r="8375" spans="2:2" ht="15">
      <c r="B8375" s="181">
        <v>15.647487307114277</v>
      </c>
    </row>
    <row r="8376" spans="2:2" ht="15">
      <c r="B8376" s="181">
        <v>34.433297328774522</v>
      </c>
    </row>
    <row r="8377" spans="2:2" ht="15">
      <c r="B8377" s="181">
        <v>5.2686217243429363</v>
      </c>
    </row>
    <row r="8378" spans="2:2" ht="15">
      <c r="B8378" s="181">
        <v>6.6442442139554734</v>
      </c>
    </row>
    <row r="8379" spans="2:2" ht="15">
      <c r="B8379" s="181">
        <v>38.666791703291018</v>
      </c>
    </row>
    <row r="8380" spans="2:2" ht="15">
      <c r="B8380" s="181">
        <v>13.67596989629406</v>
      </c>
    </row>
    <row r="8381" spans="2:2" ht="15">
      <c r="B8381" s="181">
        <v>19.188546620838036</v>
      </c>
    </row>
    <row r="8382" spans="2:2" ht="15">
      <c r="B8382" s="181">
        <v>14.19238964950644</v>
      </c>
    </row>
    <row r="8383" spans="2:2" ht="15">
      <c r="B8383" s="181">
        <v>13.386559684616046</v>
      </c>
    </row>
    <row r="8384" spans="2:2" ht="15">
      <c r="B8384" s="181">
        <v>11.480596588561587</v>
      </c>
    </row>
    <row r="8385" spans="2:2" ht="15">
      <c r="B8385" s="181">
        <v>24.837876714168356</v>
      </c>
    </row>
    <row r="8386" spans="2:2" ht="15">
      <c r="B8386" s="181">
        <v>12.629723748558478</v>
      </c>
    </row>
    <row r="8387" spans="2:2" ht="15">
      <c r="B8387" s="181">
        <v>18.018779004298427</v>
      </c>
    </row>
    <row r="8388" spans="2:2" ht="15">
      <c r="B8388" s="181">
        <v>12.790380650831469</v>
      </c>
    </row>
    <row r="8389" spans="2:2" ht="15">
      <c r="B8389" s="181">
        <v>13.556470660297814</v>
      </c>
    </row>
    <row r="8390" spans="2:2" ht="15">
      <c r="B8390" s="181">
        <v>70.715117354189275</v>
      </c>
    </row>
    <row r="8391" spans="2:2" ht="15">
      <c r="B8391" s="181">
        <v>34.317822660297651</v>
      </c>
    </row>
    <row r="8392" spans="2:2" ht="15">
      <c r="B8392" s="181">
        <v>50.806080247014343</v>
      </c>
    </row>
    <row r="8393" spans="2:2" ht="15">
      <c r="B8393" s="181">
        <v>14.084850552447838</v>
      </c>
    </row>
    <row r="8394" spans="2:2" ht="15">
      <c r="B8394" s="181">
        <v>38.336604601237596</v>
      </c>
    </row>
    <row r="8395" spans="2:2" ht="15">
      <c r="B8395" s="181">
        <v>16.613393695257454</v>
      </c>
    </row>
    <row r="8396" spans="2:2" ht="15">
      <c r="B8396" s="181">
        <v>6.2607635801387005</v>
      </c>
    </row>
    <row r="8397" spans="2:2" ht="15">
      <c r="B8397" s="181">
        <v>12.519462808331932</v>
      </c>
    </row>
    <row r="8398" spans="2:2" ht="15">
      <c r="B8398" s="181">
        <v>14.944320477622592</v>
      </c>
    </row>
    <row r="8399" spans="2:2" ht="15">
      <c r="B8399" s="181">
        <v>24.720446795071343</v>
      </c>
    </row>
    <row r="8400" spans="2:2" ht="15">
      <c r="B8400" s="181">
        <v>18.161047999215413</v>
      </c>
    </row>
    <row r="8401" spans="2:2" ht="15">
      <c r="B8401" s="181">
        <v>27.86222654411397</v>
      </c>
    </row>
    <row r="8402" spans="2:2" ht="15">
      <c r="B8402" s="181">
        <v>13.64934758713486</v>
      </c>
    </row>
    <row r="8403" spans="2:2" ht="15">
      <c r="B8403" s="181">
        <v>21.887751795745974</v>
      </c>
    </row>
    <row r="8404" spans="2:2" ht="15">
      <c r="B8404" s="181">
        <v>13.181400862399084</v>
      </c>
    </row>
    <row r="8405" spans="2:2" ht="15">
      <c r="B8405" s="181">
        <v>54.842459845281972</v>
      </c>
    </row>
    <row r="8406" spans="2:2" ht="15">
      <c r="B8406" s="181">
        <v>15.581811766024632</v>
      </c>
    </row>
    <row r="8407" spans="2:2" ht="15">
      <c r="B8407" s="181">
        <v>32.921689317386353</v>
      </c>
    </row>
    <row r="8408" spans="2:2" ht="15">
      <c r="B8408" s="181">
        <v>28.474557773179036</v>
      </c>
    </row>
    <row r="8409" spans="2:2" ht="15">
      <c r="B8409" s="181">
        <v>11.436016179086023</v>
      </c>
    </row>
    <row r="8410" spans="2:2" ht="15">
      <c r="B8410" s="181">
        <v>15.794828087852119</v>
      </c>
    </row>
    <row r="8411" spans="2:2" ht="15">
      <c r="B8411" s="181">
        <v>8.6770744540480234</v>
      </c>
    </row>
    <row r="8412" spans="2:2" ht="15">
      <c r="B8412" s="181">
        <v>24.00871386749942</v>
      </c>
    </row>
    <row r="8413" spans="2:2" ht="15">
      <c r="B8413" s="181">
        <v>12.897228723777859</v>
      </c>
    </row>
    <row r="8414" spans="2:2" ht="15">
      <c r="B8414" s="181">
        <v>15.22711179416838</v>
      </c>
    </row>
    <row r="8415" spans="2:2" ht="15">
      <c r="B8415" s="181">
        <v>11.142284859288917</v>
      </c>
    </row>
    <row r="8416" spans="2:2" ht="15">
      <c r="B8416" s="181">
        <v>18.213591098582</v>
      </c>
    </row>
    <row r="8417" spans="2:2" ht="15">
      <c r="B8417" s="181">
        <v>11.461242076052152</v>
      </c>
    </row>
    <row r="8418" spans="2:2" ht="15">
      <c r="B8418" s="181">
        <v>17.41465610638809</v>
      </c>
    </row>
    <row r="8419" spans="2:2" ht="15">
      <c r="B8419" s="181">
        <v>20.412887702311451</v>
      </c>
    </row>
    <row r="8420" spans="2:2" ht="15">
      <c r="B8420" s="181">
        <v>7.0745934702169286</v>
      </c>
    </row>
    <row r="8421" spans="2:2" ht="15">
      <c r="B8421" s="181">
        <v>4.3074413162413272</v>
      </c>
    </row>
    <row r="8422" spans="2:2" ht="15">
      <c r="B8422" s="181">
        <v>17.21934383082041</v>
      </c>
    </row>
    <row r="8423" spans="2:2" ht="15">
      <c r="B8423" s="181">
        <v>10.429002042200944</v>
      </c>
    </row>
    <row r="8424" spans="2:2" ht="15">
      <c r="B8424" s="181">
        <v>17.907184326387917</v>
      </c>
    </row>
    <row r="8425" spans="2:2" ht="15">
      <c r="B8425" s="181">
        <v>24.073200858559193</v>
      </c>
    </row>
    <row r="8426" spans="2:2" ht="15">
      <c r="B8426" s="181">
        <v>19.732348212336287</v>
      </c>
    </row>
    <row r="8427" spans="2:2" ht="15">
      <c r="B8427" s="181">
        <v>8.4206773686978202</v>
      </c>
    </row>
    <row r="8428" spans="2:2" ht="15">
      <c r="B8428" s="181">
        <v>7.0977987780858109</v>
      </c>
    </row>
    <row r="8429" spans="2:2" ht="15">
      <c r="B8429" s="181">
        <v>19.05394706530987</v>
      </c>
    </row>
    <row r="8430" spans="2:2" ht="15">
      <c r="B8430" s="181">
        <v>24.264742641157493</v>
      </c>
    </row>
    <row r="8431" spans="2:2" ht="15">
      <c r="B8431" s="181">
        <v>66.257718575768052</v>
      </c>
    </row>
    <row r="8432" spans="2:2" ht="15">
      <c r="B8432" s="181">
        <v>21.819633220595229</v>
      </c>
    </row>
    <row r="8433" spans="2:2" ht="15">
      <c r="B8433" s="181">
        <v>16.779559780592994</v>
      </c>
    </row>
    <row r="8434" spans="2:2" ht="15">
      <c r="B8434" s="181">
        <v>13.642431211902222</v>
      </c>
    </row>
    <row r="8435" spans="2:2" ht="15">
      <c r="B8435" s="181">
        <v>14.810187544201799</v>
      </c>
    </row>
    <row r="8436" spans="2:2" ht="15">
      <c r="B8436" s="181">
        <v>12.709309107117415</v>
      </c>
    </row>
    <row r="8437" spans="2:2" ht="15">
      <c r="B8437" s="181">
        <v>17.766857862939933</v>
      </c>
    </row>
    <row r="8438" spans="2:2" ht="15">
      <c r="B8438" s="181">
        <v>37.495460544226844</v>
      </c>
    </row>
    <row r="8439" spans="2:2" ht="15">
      <c r="B8439" s="181">
        <v>19.929862680458296</v>
      </c>
    </row>
    <row r="8440" spans="2:2" ht="15">
      <c r="B8440" s="181">
        <v>36.24589309070911</v>
      </c>
    </row>
    <row r="8441" spans="2:2" ht="15">
      <c r="B8441" s="181">
        <v>23.87525700461104</v>
      </c>
    </row>
    <row r="8442" spans="2:2" ht="15">
      <c r="B8442" s="181">
        <v>13.129137996725172</v>
      </c>
    </row>
    <row r="8443" spans="2:2" ht="15">
      <c r="B8443" s="181">
        <v>23.86954240935022</v>
      </c>
    </row>
    <row r="8444" spans="2:2" ht="15">
      <c r="B8444" s="181">
        <v>27.986493855755672</v>
      </c>
    </row>
    <row r="8445" spans="2:2" ht="15">
      <c r="B8445" s="181">
        <v>19.730049675460773</v>
      </c>
    </row>
    <row r="8446" spans="2:2" ht="15">
      <c r="B8446" s="181">
        <v>21.371701412845773</v>
      </c>
    </row>
    <row r="8447" spans="2:2" ht="15">
      <c r="B8447" s="181">
        <v>12.016172843402947</v>
      </c>
    </row>
    <row r="8448" spans="2:2" ht="15">
      <c r="B8448" s="181">
        <v>19.747710511921007</v>
      </c>
    </row>
    <row r="8449" spans="2:2" ht="15">
      <c r="B8449" s="181">
        <v>26.045144269679891</v>
      </c>
    </row>
    <row r="8450" spans="2:2" ht="15">
      <c r="B8450" s="181">
        <v>13.734643718990252</v>
      </c>
    </row>
    <row r="8451" spans="2:2" ht="15">
      <c r="B8451" s="181">
        <v>7.4365987937645928</v>
      </c>
    </row>
    <row r="8452" spans="2:2" ht="15">
      <c r="B8452" s="181">
        <v>42.728608532893226</v>
      </c>
    </row>
    <row r="8453" spans="2:2" ht="15">
      <c r="B8453" s="181">
        <v>59.97112252040678</v>
      </c>
    </row>
    <row r="8454" spans="2:2" ht="15">
      <c r="B8454" s="181">
        <v>11.549145046280977</v>
      </c>
    </row>
    <row r="8455" spans="2:2" ht="15">
      <c r="B8455" s="181">
        <v>8.6546599497397434</v>
      </c>
    </row>
    <row r="8456" spans="2:2" ht="15">
      <c r="B8456" s="181">
        <v>16.542711686763404</v>
      </c>
    </row>
    <row r="8457" spans="2:2" ht="15">
      <c r="B8457" s="181">
        <v>49.051785498498248</v>
      </c>
    </row>
    <row r="8458" spans="2:2" ht="15">
      <c r="B8458" s="181">
        <v>15.256705460575784</v>
      </c>
    </row>
    <row r="8459" spans="2:2" ht="15">
      <c r="B8459" s="181">
        <v>9.5006364963942183</v>
      </c>
    </row>
    <row r="8460" spans="2:2" ht="15">
      <c r="B8460" s="181">
        <v>17.26293737668616</v>
      </c>
    </row>
    <row r="8461" spans="2:2" ht="15">
      <c r="B8461" s="181">
        <v>10.610934075746608</v>
      </c>
    </row>
    <row r="8462" spans="2:2" ht="15">
      <c r="B8462" s="181">
        <v>17.327823642312456</v>
      </c>
    </row>
    <row r="8463" spans="2:2" ht="15">
      <c r="B8463" s="181">
        <v>32.115567308270244</v>
      </c>
    </row>
    <row r="8464" spans="2:2" ht="15">
      <c r="B8464" s="181">
        <v>14.832401942107326</v>
      </c>
    </row>
    <row r="8465" spans="2:2" ht="15">
      <c r="B8465" s="181">
        <v>14.16988914689432</v>
      </c>
    </row>
    <row r="8466" spans="2:2" ht="15">
      <c r="B8466" s="181">
        <v>17.507465306132911</v>
      </c>
    </row>
    <row r="8467" spans="2:2" ht="15">
      <c r="B8467" s="181">
        <v>15.243128485916971</v>
      </c>
    </row>
    <row r="8468" spans="2:2" ht="15">
      <c r="B8468" s="181">
        <v>17.991589247018187</v>
      </c>
    </row>
    <row r="8469" spans="2:2" ht="15">
      <c r="B8469" s="181">
        <v>25.09475906495528</v>
      </c>
    </row>
    <row r="8470" spans="2:2" ht="15">
      <c r="B8470" s="181">
        <v>22.391586084276543</v>
      </c>
    </row>
    <row r="8471" spans="2:2" ht="15">
      <c r="B8471" s="181">
        <v>16.854422734033843</v>
      </c>
    </row>
    <row r="8472" spans="2:2" ht="15">
      <c r="B8472" s="181">
        <v>35.258469308393664</v>
      </c>
    </row>
    <row r="8473" spans="2:2" ht="15">
      <c r="B8473" s="181">
        <v>22.306364618440728</v>
      </c>
    </row>
    <row r="8474" spans="2:2" ht="15">
      <c r="B8474" s="181">
        <v>11.226896683527356</v>
      </c>
    </row>
    <row r="8475" spans="2:2" ht="15">
      <c r="B8475" s="181">
        <v>14.571598434239014</v>
      </c>
    </row>
    <row r="8476" spans="2:2" ht="15">
      <c r="B8476" s="181">
        <v>28.424192610548737</v>
      </c>
    </row>
    <row r="8477" spans="2:2" ht="15">
      <c r="B8477" s="181">
        <v>14.926314244397403</v>
      </c>
    </row>
    <row r="8478" spans="2:2" ht="15">
      <c r="B8478" s="181">
        <v>20.46949332465616</v>
      </c>
    </row>
    <row r="8479" spans="2:2" ht="15">
      <c r="B8479" s="181">
        <v>21.615954209344387</v>
      </c>
    </row>
    <row r="8480" spans="2:2" ht="15">
      <c r="B8480" s="181">
        <v>12.902704714327466</v>
      </c>
    </row>
    <row r="8481" spans="2:2" ht="15">
      <c r="B8481" s="181">
        <v>12.605388099485978</v>
      </c>
    </row>
    <row r="8482" spans="2:2" ht="15">
      <c r="B8482" s="181">
        <v>16.951749412407928</v>
      </c>
    </row>
    <row r="8483" spans="2:2" ht="15">
      <c r="B8483" s="181">
        <v>13.185745880844186</v>
      </c>
    </row>
    <row r="8484" spans="2:2" ht="15">
      <c r="B8484" s="181">
        <v>18.266238454281936</v>
      </c>
    </row>
    <row r="8485" spans="2:2" ht="15">
      <c r="B8485" s="181">
        <v>16.50795696293061</v>
      </c>
    </row>
    <row r="8486" spans="2:2" ht="15">
      <c r="B8486" s="181">
        <v>13.039404542882934</v>
      </c>
    </row>
    <row r="8487" spans="2:2" ht="15">
      <c r="B8487" s="181">
        <v>22.757885058326526</v>
      </c>
    </row>
    <row r="8488" spans="2:2" ht="15">
      <c r="B8488" s="181">
        <v>5.5926932988760774</v>
      </c>
    </row>
    <row r="8489" spans="2:2" ht="15">
      <c r="B8489" s="181">
        <v>14.370869520997632</v>
      </c>
    </row>
    <row r="8490" spans="2:2" ht="15">
      <c r="B8490" s="181">
        <v>12.012198411293985</v>
      </c>
    </row>
    <row r="8491" spans="2:2" ht="15">
      <c r="B8491" s="181">
        <v>19.623742690527575</v>
      </c>
    </row>
    <row r="8492" spans="2:2" ht="15">
      <c r="B8492" s="181">
        <v>11.212979533668589</v>
      </c>
    </row>
    <row r="8493" spans="2:2" ht="15">
      <c r="B8493" s="181">
        <v>13.679934868936828</v>
      </c>
    </row>
    <row r="8494" spans="2:2" ht="15">
      <c r="B8494" s="181">
        <v>20.165055185929631</v>
      </c>
    </row>
    <row r="8495" spans="2:2" ht="15">
      <c r="B8495" s="181">
        <v>14.393408379539677</v>
      </c>
    </row>
    <row r="8496" spans="2:2" ht="15">
      <c r="B8496" s="181">
        <v>31.137456754647829</v>
      </c>
    </row>
    <row r="8497" spans="2:2" ht="15">
      <c r="B8497" s="181">
        <v>26.726877930247809</v>
      </c>
    </row>
    <row r="8498" spans="2:2" ht="15">
      <c r="B8498" s="181">
        <v>10.792143344791645</v>
      </c>
    </row>
    <row r="8499" spans="2:2" ht="15">
      <c r="B8499" s="181">
        <v>15.79687522588406</v>
      </c>
    </row>
    <row r="8500" spans="2:2" ht="15">
      <c r="B8500" s="181">
        <v>21.986996637352814</v>
      </c>
    </row>
    <row r="8501" spans="2:2" ht="15">
      <c r="B8501" s="181">
        <v>15.512631247522251</v>
      </c>
    </row>
    <row r="8502" spans="2:2" ht="15">
      <c r="B8502" s="181">
        <v>21.931661762729583</v>
      </c>
    </row>
    <row r="8503" spans="2:2" ht="15">
      <c r="B8503" s="181">
        <v>26.625300525815252</v>
      </c>
    </row>
    <row r="8504" spans="2:2" ht="15">
      <c r="B8504" s="181">
        <v>23.489821209622061</v>
      </c>
    </row>
    <row r="8505" spans="2:2" ht="15">
      <c r="B8505" s="181">
        <v>17.429501357980296</v>
      </c>
    </row>
    <row r="8506" spans="2:2" ht="15">
      <c r="B8506" s="181">
        <v>14.592822607784962</v>
      </c>
    </row>
    <row r="8507" spans="2:2" ht="15">
      <c r="B8507" s="181">
        <v>29.967101708264337</v>
      </c>
    </row>
    <row r="8508" spans="2:2" ht="15">
      <c r="B8508" s="181">
        <v>12.829628214655264</v>
      </c>
    </row>
    <row r="8509" spans="2:2" ht="15">
      <c r="B8509" s="181">
        <v>22.560863161346578</v>
      </c>
    </row>
    <row r="8510" spans="2:2" ht="15">
      <c r="B8510" s="181">
        <v>12.054919651290412</v>
      </c>
    </row>
    <row r="8511" spans="2:2" ht="15">
      <c r="B8511" s="181">
        <v>19.03333589727642</v>
      </c>
    </row>
    <row r="8512" spans="2:2" ht="15">
      <c r="B8512" s="181">
        <v>14.894695180279347</v>
      </c>
    </row>
    <row r="8513" spans="2:2" ht="15">
      <c r="B8513" s="181">
        <v>18.984589933604465</v>
      </c>
    </row>
    <row r="8514" spans="2:2" ht="15">
      <c r="B8514" s="181">
        <v>17.558648538612118</v>
      </c>
    </row>
    <row r="8515" spans="2:2" ht="15">
      <c r="B8515" s="181">
        <v>58.198697615519791</v>
      </c>
    </row>
    <row r="8516" spans="2:2" ht="15">
      <c r="B8516" s="181">
        <v>10.027336013215249</v>
      </c>
    </row>
    <row r="8517" spans="2:2" ht="15">
      <c r="B8517" s="181">
        <v>16.70732789377675</v>
      </c>
    </row>
    <row r="8518" spans="2:2" ht="15">
      <c r="B8518" s="181">
        <v>29.577967737505904</v>
      </c>
    </row>
    <row r="8519" spans="2:2" ht="15">
      <c r="B8519" s="181">
        <v>14.883442051438418</v>
      </c>
    </row>
    <row r="8520" spans="2:2" ht="15">
      <c r="B8520" s="181">
        <v>14.784702380140141</v>
      </c>
    </row>
    <row r="8521" spans="2:2" ht="15">
      <c r="B8521" s="181">
        <v>13.914840133661611</v>
      </c>
    </row>
    <row r="8522" spans="2:2" ht="15">
      <c r="B8522" s="181">
        <v>11.303528454890678</v>
      </c>
    </row>
    <row r="8523" spans="2:2" ht="15">
      <c r="B8523" s="181">
        <v>8.1709075009074663</v>
      </c>
    </row>
    <row r="8524" spans="2:2" ht="15">
      <c r="B8524" s="181">
        <v>13.87453447537483</v>
      </c>
    </row>
    <row r="8525" spans="2:2" ht="15">
      <c r="B8525" s="181">
        <v>14.366762791088178</v>
      </c>
    </row>
    <row r="8526" spans="2:2" ht="15">
      <c r="B8526" s="181">
        <v>16.323935821699312</v>
      </c>
    </row>
    <row r="8527" spans="2:2" ht="15">
      <c r="B8527" s="181">
        <v>5.9207930421578334</v>
      </c>
    </row>
    <row r="8528" spans="2:2" ht="15">
      <c r="B8528" s="181">
        <v>6.7186153267213324</v>
      </c>
    </row>
    <row r="8529" spans="2:2" ht="15">
      <c r="B8529" s="181">
        <v>15.312613721728315</v>
      </c>
    </row>
    <row r="8530" spans="2:2" ht="15">
      <c r="B8530" s="181">
        <v>19.377654297426471</v>
      </c>
    </row>
    <row r="8531" spans="2:2" ht="15">
      <c r="B8531" s="181">
        <v>16.282736017865858</v>
      </c>
    </row>
    <row r="8532" spans="2:2" ht="15">
      <c r="B8532" s="181">
        <v>13.759170654314337</v>
      </c>
    </row>
    <row r="8533" spans="2:2" ht="15">
      <c r="B8533" s="181">
        <v>46.867535124443499</v>
      </c>
    </row>
    <row r="8534" spans="2:2" ht="15">
      <c r="B8534" s="181">
        <v>18.813226712252401</v>
      </c>
    </row>
    <row r="8535" spans="2:2" ht="15">
      <c r="B8535" s="181">
        <v>13.417769997236313</v>
      </c>
    </row>
    <row r="8536" spans="2:2" ht="15">
      <c r="B8536" s="181">
        <v>15.474690846530907</v>
      </c>
    </row>
    <row r="8537" spans="2:2" ht="15">
      <c r="B8537" s="181">
        <v>57.134292625726779</v>
      </c>
    </row>
    <row r="8538" spans="2:2" ht="15">
      <c r="B8538" s="181">
        <v>28.065208782174317</v>
      </c>
    </row>
    <row r="8539" spans="2:2" ht="15">
      <c r="B8539" s="181">
        <v>7.2080753607676051</v>
      </c>
    </row>
    <row r="8540" spans="2:2" ht="15">
      <c r="B8540" s="181">
        <v>18.74576088973793</v>
      </c>
    </row>
    <row r="8541" spans="2:2" ht="15">
      <c r="B8541" s="181">
        <v>22.134990001626921</v>
      </c>
    </row>
    <row r="8542" spans="2:2" ht="15">
      <c r="B8542" s="181">
        <v>10.838322429764466</v>
      </c>
    </row>
    <row r="8543" spans="2:2" ht="15">
      <c r="B8543" s="181">
        <v>15.766828212377591</v>
      </c>
    </row>
    <row r="8544" spans="2:2" ht="15">
      <c r="B8544" s="181">
        <v>13.140754653964228</v>
      </c>
    </row>
    <row r="8545" spans="2:2" ht="15">
      <c r="B8545" s="181">
        <v>16.016174893142328</v>
      </c>
    </row>
    <row r="8546" spans="2:2" ht="15">
      <c r="B8546" s="181">
        <v>27.220607364536644</v>
      </c>
    </row>
    <row r="8547" spans="2:2" ht="15">
      <c r="B8547" s="181">
        <v>15.294189716122728</v>
      </c>
    </row>
    <row r="8548" spans="2:2" ht="15">
      <c r="B8548" s="181">
        <v>14.875482884401396</v>
      </c>
    </row>
    <row r="8549" spans="2:2" ht="15">
      <c r="B8549" s="181">
        <v>21.783492009325983</v>
      </c>
    </row>
    <row r="8550" spans="2:2" ht="15">
      <c r="B8550" s="181">
        <v>15.64834037955417</v>
      </c>
    </row>
    <row r="8551" spans="2:2" ht="15">
      <c r="B8551" s="181">
        <v>18.632619501576922</v>
      </c>
    </row>
    <row r="8552" spans="2:2" ht="15">
      <c r="B8552" s="181">
        <v>22.535003876980841</v>
      </c>
    </row>
    <row r="8553" spans="2:2" ht="15">
      <c r="B8553" s="181">
        <v>6.9439171024103352</v>
      </c>
    </row>
    <row r="8554" spans="2:2" ht="15">
      <c r="B8554" s="181">
        <v>18.579635944664847</v>
      </c>
    </row>
    <row r="8555" spans="2:2" ht="15">
      <c r="B8555" s="181">
        <v>24.755048621489355</v>
      </c>
    </row>
    <row r="8556" spans="2:2" ht="15">
      <c r="B8556" s="181">
        <v>21.516218701672486</v>
      </c>
    </row>
    <row r="8557" spans="2:2" ht="15">
      <c r="B8557" s="181">
        <v>21.295956696453317</v>
      </c>
    </row>
    <row r="8558" spans="2:2" ht="15">
      <c r="B8558" s="181">
        <v>18.886949556829755</v>
      </c>
    </row>
    <row r="8559" spans="2:2" ht="15">
      <c r="B8559" s="181">
        <v>8.5044751115101125</v>
      </c>
    </row>
    <row r="8560" spans="2:2" ht="15">
      <c r="B8560" s="181">
        <v>23.708264645352596</v>
      </c>
    </row>
    <row r="8561" spans="2:2" ht="15">
      <c r="B8561" s="181">
        <v>19.000970684126827</v>
      </c>
    </row>
    <row r="8562" spans="2:2" ht="15">
      <c r="B8562" s="181">
        <v>19.799222406182462</v>
      </c>
    </row>
    <row r="8563" spans="2:2" ht="15">
      <c r="B8563" s="181">
        <v>14.861511478333981</v>
      </c>
    </row>
    <row r="8564" spans="2:2" ht="15">
      <c r="B8564" s="181">
        <v>29.51963670310391</v>
      </c>
    </row>
    <row r="8565" spans="2:2" ht="15">
      <c r="B8565" s="181">
        <v>24.907722778604697</v>
      </c>
    </row>
    <row r="8566" spans="2:2" ht="15">
      <c r="B8566" s="181">
        <v>21.442222982913012</v>
      </c>
    </row>
    <row r="8567" spans="2:2" ht="15">
      <c r="B8567" s="181">
        <v>15.108826441251169</v>
      </c>
    </row>
    <row r="8568" spans="2:2" ht="15">
      <c r="B8568" s="181">
        <v>31.027896324779242</v>
      </c>
    </row>
    <row r="8569" spans="2:2" ht="15">
      <c r="B8569" s="181">
        <v>18.985342819768906</v>
      </c>
    </row>
    <row r="8570" spans="2:2" ht="15">
      <c r="B8570" s="181">
        <v>53.902487902579054</v>
      </c>
    </row>
    <row r="8571" spans="2:2" ht="15">
      <c r="B8571" s="181">
        <v>11.659817847974216</v>
      </c>
    </row>
    <row r="8572" spans="2:2" ht="15">
      <c r="B8572" s="181">
        <v>10.94680640634258</v>
      </c>
    </row>
    <row r="8573" spans="2:2" ht="15">
      <c r="B8573" s="181">
        <v>5.448643236307646</v>
      </c>
    </row>
    <row r="8574" spans="2:2" ht="15">
      <c r="B8574" s="181">
        <v>15.227476092542833</v>
      </c>
    </row>
    <row r="8575" spans="2:2" ht="15">
      <c r="B8575" s="181">
        <v>8.6366943215976715</v>
      </c>
    </row>
    <row r="8576" spans="2:2" ht="15">
      <c r="B8576" s="181">
        <v>9.5775930054337959</v>
      </c>
    </row>
    <row r="8577" spans="2:2" ht="15">
      <c r="B8577" s="181">
        <v>13.62313415690353</v>
      </c>
    </row>
    <row r="8578" spans="2:2" ht="15">
      <c r="B8578" s="181">
        <v>36.863670328424739</v>
      </c>
    </row>
    <row r="8579" spans="2:2" ht="15">
      <c r="B8579" s="181">
        <v>30.041617501247238</v>
      </c>
    </row>
    <row r="8580" spans="2:2" ht="15">
      <c r="B8580" s="181">
        <v>7.1419894089310878</v>
      </c>
    </row>
    <row r="8581" spans="2:2" ht="15">
      <c r="B8581" s="181">
        <v>20.791980306332658</v>
      </c>
    </row>
    <row r="8582" spans="2:2" ht="15">
      <c r="B8582" s="181">
        <v>7.739578440661707</v>
      </c>
    </row>
    <row r="8583" spans="2:2" ht="15">
      <c r="B8583" s="181">
        <v>24.956749328201198</v>
      </c>
    </row>
    <row r="8584" spans="2:2" ht="15">
      <c r="B8584" s="181">
        <v>15.103472552362863</v>
      </c>
    </row>
    <row r="8585" spans="2:2" ht="15">
      <c r="B8585" s="181">
        <v>10.490256160149547</v>
      </c>
    </row>
    <row r="8586" spans="2:2" ht="15">
      <c r="B8586" s="181">
        <v>24.499444859022827</v>
      </c>
    </row>
    <row r="8587" spans="2:2" ht="15">
      <c r="B8587" s="181">
        <v>29.813157683691912</v>
      </c>
    </row>
    <row r="8588" spans="2:2" ht="15">
      <c r="B8588" s="181">
        <v>32.9944851529877</v>
      </c>
    </row>
    <row r="8589" spans="2:2" ht="15">
      <c r="B8589" s="181">
        <v>7.945845026682627</v>
      </c>
    </row>
    <row r="8590" spans="2:2" ht="15">
      <c r="B8590" s="181">
        <v>14.288742458071853</v>
      </c>
    </row>
    <row r="8591" spans="2:2" ht="15">
      <c r="B8591" s="181">
        <v>7.2895029951754609</v>
      </c>
    </row>
    <row r="8592" spans="2:2" ht="15">
      <c r="B8592" s="181">
        <v>21.625329890325446</v>
      </c>
    </row>
    <row r="8593" spans="2:2" ht="15">
      <c r="B8593" s="181">
        <v>7.6846571625677154</v>
      </c>
    </row>
    <row r="8594" spans="2:2" ht="15">
      <c r="B8594" s="181">
        <v>12.463142359471599</v>
      </c>
    </row>
    <row r="8595" spans="2:2" ht="15">
      <c r="B8595" s="181">
        <v>17.00220708775754</v>
      </c>
    </row>
    <row r="8596" spans="2:2" ht="15">
      <c r="B8596" s="181">
        <v>10.028876799818294</v>
      </c>
    </row>
    <row r="8597" spans="2:2" ht="15">
      <c r="B8597" s="181">
        <v>15.874286147457003</v>
      </c>
    </row>
    <row r="8598" spans="2:2" ht="15">
      <c r="B8598" s="181">
        <v>15.947577686011664</v>
      </c>
    </row>
    <row r="8599" spans="2:2" ht="15">
      <c r="B8599" s="181">
        <v>19.823958117310188</v>
      </c>
    </row>
    <row r="8600" spans="2:2" ht="15">
      <c r="B8600" s="181">
        <v>23.076493790394629</v>
      </c>
    </row>
    <row r="8601" spans="2:2" ht="15">
      <c r="B8601" s="181">
        <v>8.2960726961317981</v>
      </c>
    </row>
    <row r="8602" spans="2:2" ht="15">
      <c r="B8602" s="181">
        <v>8.4399632726301359</v>
      </c>
    </row>
    <row r="8603" spans="2:2" ht="15">
      <c r="B8603" s="181">
        <v>32.464963960635181</v>
      </c>
    </row>
    <row r="8604" spans="2:2" ht="15">
      <c r="B8604" s="181">
        <v>30.250635486234614</v>
      </c>
    </row>
    <row r="8605" spans="2:2" ht="15">
      <c r="B8605" s="181">
        <v>31.971220382172667</v>
      </c>
    </row>
    <row r="8606" spans="2:2" ht="15">
      <c r="B8606" s="181">
        <v>16.832620052671977</v>
      </c>
    </row>
    <row r="8607" spans="2:2" ht="15">
      <c r="B8607" s="181">
        <v>22.662196215478122</v>
      </c>
    </row>
    <row r="8608" spans="2:2" ht="15">
      <c r="B8608" s="181">
        <v>26.377085752597541</v>
      </c>
    </row>
    <row r="8609" spans="2:2" ht="15">
      <c r="B8609" s="181">
        <v>28.104533212449308</v>
      </c>
    </row>
    <row r="8610" spans="2:2" ht="15">
      <c r="B8610" s="181">
        <v>10.719657146506266</v>
      </c>
    </row>
    <row r="8611" spans="2:2" ht="15">
      <c r="B8611" s="181">
        <v>12.273070256990993</v>
      </c>
    </row>
    <row r="8612" spans="2:2" ht="15">
      <c r="B8612" s="181">
        <v>39.839443872128022</v>
      </c>
    </row>
    <row r="8613" spans="2:2" ht="15">
      <c r="B8613" s="181">
        <v>8.1977535094124807</v>
      </c>
    </row>
    <row r="8614" spans="2:2" ht="15">
      <c r="B8614" s="181">
        <v>8.2036050572460795</v>
      </c>
    </row>
    <row r="8615" spans="2:2" ht="15">
      <c r="B8615" s="181">
        <v>15.661677919136524</v>
      </c>
    </row>
    <row r="8616" spans="2:2" ht="15">
      <c r="B8616" s="181">
        <v>14.886352116837051</v>
      </c>
    </row>
    <row r="8617" spans="2:2" ht="15">
      <c r="B8617" s="181">
        <v>14.572363099183688</v>
      </c>
    </row>
    <row r="8618" spans="2:2" ht="15">
      <c r="B8618" s="181">
        <v>26.649156141411375</v>
      </c>
    </row>
    <row r="8619" spans="2:2" ht="15">
      <c r="B8619" s="181">
        <v>47.75817558160621</v>
      </c>
    </row>
    <row r="8620" spans="2:2" ht="15">
      <c r="B8620" s="181">
        <v>38.918708821834741</v>
      </c>
    </row>
    <row r="8621" spans="2:2" ht="15">
      <c r="B8621" s="181">
        <v>6.2734559543267112</v>
      </c>
    </row>
    <row r="8622" spans="2:2" ht="15">
      <c r="B8622" s="181">
        <v>16.019123671715793</v>
      </c>
    </row>
    <row r="8623" spans="2:2" ht="15">
      <c r="B8623" s="181">
        <v>17.631206973732453</v>
      </c>
    </row>
    <row r="8624" spans="2:2" ht="15">
      <c r="B8624" s="181">
        <v>13.264858031517058</v>
      </c>
    </row>
    <row r="8625" spans="2:2" ht="15">
      <c r="B8625" s="181">
        <v>20.697552193273516</v>
      </c>
    </row>
    <row r="8626" spans="2:2" ht="15">
      <c r="B8626" s="181">
        <v>19.960825202746712</v>
      </c>
    </row>
    <row r="8627" spans="2:2" ht="15">
      <c r="B8627" s="181">
        <v>20.161949892740637</v>
      </c>
    </row>
    <row r="8628" spans="2:2" ht="15">
      <c r="B8628" s="181">
        <v>15.485173257911452</v>
      </c>
    </row>
    <row r="8629" spans="2:2" ht="15">
      <c r="B8629" s="181">
        <v>29.656362341940785</v>
      </c>
    </row>
    <row r="8630" spans="2:2" ht="15">
      <c r="B8630" s="181">
        <v>13.429675985682652</v>
      </c>
    </row>
    <row r="8631" spans="2:2" ht="15">
      <c r="B8631" s="181">
        <v>26.508006751959361</v>
      </c>
    </row>
    <row r="8632" spans="2:2" ht="15">
      <c r="B8632" s="181">
        <v>18.940555456035199</v>
      </c>
    </row>
    <row r="8633" spans="2:2" ht="15">
      <c r="B8633" s="181">
        <v>23.169314115590019</v>
      </c>
    </row>
    <row r="8634" spans="2:2" ht="15">
      <c r="B8634" s="181">
        <v>13.11616403595148</v>
      </c>
    </row>
    <row r="8635" spans="2:2" ht="15">
      <c r="B8635" s="181">
        <v>11.900492302076993</v>
      </c>
    </row>
    <row r="8636" spans="2:2" ht="15">
      <c r="B8636" s="181">
        <v>17.169576062622038</v>
      </c>
    </row>
    <row r="8637" spans="2:2" ht="15">
      <c r="B8637" s="181">
        <v>10.784985066446398</v>
      </c>
    </row>
    <row r="8638" spans="2:2" ht="15">
      <c r="B8638" s="181">
        <v>36.673629457301189</v>
      </c>
    </row>
    <row r="8639" spans="2:2" ht="15">
      <c r="B8639" s="181">
        <v>4.498931775281636</v>
      </c>
    </row>
    <row r="8640" spans="2:2" ht="15">
      <c r="B8640" s="181">
        <v>24.35305613306663</v>
      </c>
    </row>
    <row r="8641" spans="2:2" ht="15">
      <c r="B8641" s="181">
        <v>27.164416003371418</v>
      </c>
    </row>
    <row r="8642" spans="2:2" ht="15">
      <c r="B8642" s="181">
        <v>20.206169739935987</v>
      </c>
    </row>
    <row r="8643" spans="2:2" ht="15">
      <c r="B8643" s="181">
        <v>22.131184699813545</v>
      </c>
    </row>
    <row r="8644" spans="2:2" ht="15">
      <c r="B8644" s="181">
        <v>25.057630149973306</v>
      </c>
    </row>
    <row r="8645" spans="2:2" ht="15">
      <c r="B8645" s="181">
        <v>24.924046593767766</v>
      </c>
    </row>
    <row r="8646" spans="2:2" ht="15">
      <c r="B8646" s="181">
        <v>14.140344835339564</v>
      </c>
    </row>
    <row r="8647" spans="2:2" ht="15">
      <c r="B8647" s="181">
        <v>26.089931809478138</v>
      </c>
    </row>
    <row r="8648" spans="2:2" ht="15">
      <c r="B8648" s="181">
        <v>21.560827927568464</v>
      </c>
    </row>
    <row r="8649" spans="2:2" ht="15">
      <c r="B8649" s="181">
        <v>43.733975083262024</v>
      </c>
    </row>
    <row r="8650" spans="2:2" ht="15">
      <c r="B8650" s="181">
        <v>33.919429351809505</v>
      </c>
    </row>
    <row r="8651" spans="2:2" ht="15">
      <c r="B8651" s="181">
        <v>14.187432542316238</v>
      </c>
    </row>
    <row r="8652" spans="2:2" ht="15">
      <c r="B8652" s="181">
        <v>26.292309938887687</v>
      </c>
    </row>
    <row r="8653" spans="2:2" ht="15">
      <c r="B8653" s="181">
        <v>14.978503881271337</v>
      </c>
    </row>
    <row r="8654" spans="2:2" ht="15">
      <c r="B8654" s="181">
        <v>16.126101046466577</v>
      </c>
    </row>
    <row r="8655" spans="2:2" ht="15">
      <c r="B8655" s="181">
        <v>17.134327740020378</v>
      </c>
    </row>
    <row r="8656" spans="2:2" ht="15">
      <c r="B8656" s="181">
        <v>10.86764619673332</v>
      </c>
    </row>
    <row r="8657" spans="2:2" ht="15">
      <c r="B8657" s="181">
        <v>40.785954761094516</v>
      </c>
    </row>
    <row r="8658" spans="2:2" ht="15">
      <c r="B8658" s="181">
        <v>28.629489591210216</v>
      </c>
    </row>
    <row r="8659" spans="2:2" ht="15">
      <c r="B8659" s="181">
        <v>17.509718287502988</v>
      </c>
    </row>
    <row r="8660" spans="2:2" ht="15">
      <c r="B8660" s="181">
        <v>17.847990642603605</v>
      </c>
    </row>
    <row r="8661" spans="2:2" ht="15">
      <c r="B8661" s="181">
        <v>22.495308464235265</v>
      </c>
    </row>
    <row r="8662" spans="2:2" ht="15">
      <c r="B8662" s="181">
        <v>22.467722989464292</v>
      </c>
    </row>
    <row r="8663" spans="2:2" ht="15">
      <c r="B8663" s="181">
        <v>13.13398866735476</v>
      </c>
    </row>
    <row r="8664" spans="2:2" ht="15">
      <c r="B8664" s="181">
        <v>29.1557967395273</v>
      </c>
    </row>
    <row r="8665" spans="2:2" ht="15">
      <c r="B8665" s="181">
        <v>8.8914435568309482</v>
      </c>
    </row>
    <row r="8666" spans="2:2" ht="15">
      <c r="B8666" s="181">
        <v>18.490472367408934</v>
      </c>
    </row>
    <row r="8667" spans="2:2" ht="15">
      <c r="B8667" s="181">
        <v>46.201063798476653</v>
      </c>
    </row>
    <row r="8668" spans="2:2" ht="15">
      <c r="B8668" s="181">
        <v>14.839536687876581</v>
      </c>
    </row>
    <row r="8669" spans="2:2" ht="15">
      <c r="B8669" s="181">
        <v>13.651597116875292</v>
      </c>
    </row>
    <row r="8670" spans="2:2" ht="15">
      <c r="B8670" s="181">
        <v>19.439809212705747</v>
      </c>
    </row>
    <row r="8671" spans="2:2" ht="15">
      <c r="B8671" s="181">
        <v>19.190054319012681</v>
      </c>
    </row>
    <row r="8672" spans="2:2" ht="15">
      <c r="B8672" s="181">
        <v>9.9641804850246363</v>
      </c>
    </row>
    <row r="8673" spans="2:2" ht="15">
      <c r="B8673" s="181">
        <v>26.328618933595159</v>
      </c>
    </row>
    <row r="8674" spans="2:2" ht="15">
      <c r="B8674" s="181">
        <v>8.1667367222213123</v>
      </c>
    </row>
    <row r="8675" spans="2:2" ht="15">
      <c r="B8675" s="181">
        <v>14.139907572765772</v>
      </c>
    </row>
    <row r="8676" spans="2:2" ht="15">
      <c r="B8676" s="181">
        <v>15.260513134686349</v>
      </c>
    </row>
    <row r="8677" spans="2:2" ht="15">
      <c r="B8677" s="181">
        <v>15.538869339296273</v>
      </c>
    </row>
    <row r="8678" spans="2:2" ht="15">
      <c r="B8678" s="181">
        <v>19.60546496509189</v>
      </c>
    </row>
    <row r="8679" spans="2:2" ht="15">
      <c r="B8679" s="181">
        <v>14.007950943187172</v>
      </c>
    </row>
    <row r="8680" spans="2:2" ht="15">
      <c r="B8680" s="181">
        <v>10.382255000487811</v>
      </c>
    </row>
    <row r="8681" spans="2:2" ht="15">
      <c r="B8681" s="181">
        <v>26.626271439887088</v>
      </c>
    </row>
    <row r="8682" spans="2:2" ht="15">
      <c r="B8682" s="181">
        <v>10.812437548072104</v>
      </c>
    </row>
    <row r="8683" spans="2:2" ht="15">
      <c r="B8683" s="181">
        <v>34.763975362849514</v>
      </c>
    </row>
    <row r="8684" spans="2:2" ht="15">
      <c r="B8684" s="181">
        <v>5.6950229260852803</v>
      </c>
    </row>
    <row r="8685" spans="2:2" ht="15">
      <c r="B8685" s="181">
        <v>11.453291535470386</v>
      </c>
    </row>
    <row r="8686" spans="2:2" ht="15">
      <c r="B8686" s="181">
        <v>13.395477954376796</v>
      </c>
    </row>
    <row r="8687" spans="2:2" ht="15">
      <c r="B8687" s="181">
        <v>18.743036145954754</v>
      </c>
    </row>
    <row r="8688" spans="2:2" ht="15">
      <c r="B8688" s="181">
        <v>9.707886985199961</v>
      </c>
    </row>
    <row r="8689" spans="2:2" ht="15">
      <c r="B8689" s="181">
        <v>43.401372025926854</v>
      </c>
    </row>
    <row r="8690" spans="2:2" ht="15">
      <c r="B8690" s="181">
        <v>13.933401000108546</v>
      </c>
    </row>
    <row r="8691" spans="2:2" ht="15">
      <c r="B8691" s="181">
        <v>13.786254020259726</v>
      </c>
    </row>
    <row r="8692" spans="2:2" ht="15">
      <c r="B8692" s="181">
        <v>30.420782230907186</v>
      </c>
    </row>
    <row r="8693" spans="2:2" ht="15">
      <c r="B8693" s="181">
        <v>39.917979371154438</v>
      </c>
    </row>
    <row r="8694" spans="2:2" ht="15">
      <c r="B8694" s="181">
        <v>13.865417081806601</v>
      </c>
    </row>
    <row r="8695" spans="2:2" ht="15">
      <c r="B8695" s="181">
        <v>5.3506062878256815</v>
      </c>
    </row>
    <row r="8696" spans="2:2" ht="15">
      <c r="B8696" s="181">
        <v>40.557076485838444</v>
      </c>
    </row>
    <row r="8697" spans="2:2" ht="15">
      <c r="B8697" s="181">
        <v>24.420763193746179</v>
      </c>
    </row>
    <row r="8698" spans="2:2" ht="15">
      <c r="B8698" s="181">
        <v>12.096314973014994</v>
      </c>
    </row>
    <row r="8699" spans="2:2" ht="15">
      <c r="B8699" s="181">
        <v>53.791198406419603</v>
      </c>
    </row>
    <row r="8700" spans="2:2" ht="15">
      <c r="B8700" s="181">
        <v>9.37019808644426</v>
      </c>
    </row>
    <row r="8701" spans="2:2" ht="15">
      <c r="B8701" s="181">
        <v>10.839798424956202</v>
      </c>
    </row>
    <row r="8702" spans="2:2" ht="15">
      <c r="B8702" s="181">
        <v>26.315807163864385</v>
      </c>
    </row>
    <row r="8703" spans="2:2" ht="15">
      <c r="B8703" s="181">
        <v>11.917499190777638</v>
      </c>
    </row>
    <row r="8704" spans="2:2" ht="15">
      <c r="B8704" s="181">
        <v>19.558121399164484</v>
      </c>
    </row>
    <row r="8705" spans="2:2" ht="15">
      <c r="B8705" s="181">
        <v>24.874395911715485</v>
      </c>
    </row>
    <row r="8706" spans="2:2" ht="15">
      <c r="B8706" s="181">
        <v>29.848508639841743</v>
      </c>
    </row>
    <row r="8707" spans="2:2" ht="15">
      <c r="B8707" s="181">
        <v>16.010019789193386</v>
      </c>
    </row>
    <row r="8708" spans="2:2" ht="15">
      <c r="B8708" s="181">
        <v>49.294155644532026</v>
      </c>
    </row>
    <row r="8709" spans="2:2" ht="15">
      <c r="B8709" s="181">
        <v>29.273152722893304</v>
      </c>
    </row>
    <row r="8710" spans="2:2" ht="15">
      <c r="B8710" s="181">
        <v>72.887341322352043</v>
      </c>
    </row>
    <row r="8711" spans="2:2" ht="15">
      <c r="B8711" s="181">
        <v>8.9175240066004093</v>
      </c>
    </row>
    <row r="8712" spans="2:2" ht="15">
      <c r="B8712" s="181">
        <v>12.262929862631847</v>
      </c>
    </row>
    <row r="8713" spans="2:2" ht="15">
      <c r="B8713" s="181">
        <v>26.066974502978507</v>
      </c>
    </row>
    <row r="8714" spans="2:2" ht="15">
      <c r="B8714" s="181">
        <v>30.88280402615349</v>
      </c>
    </row>
    <row r="8715" spans="2:2" ht="15">
      <c r="B8715" s="181">
        <v>23.598121146820645</v>
      </c>
    </row>
    <row r="8716" spans="2:2" ht="15">
      <c r="B8716" s="181">
        <v>22.458758309890889</v>
      </c>
    </row>
    <row r="8717" spans="2:2" ht="15">
      <c r="B8717" s="181">
        <v>19.217608337059225</v>
      </c>
    </row>
    <row r="8718" spans="2:2" ht="15">
      <c r="B8718" s="181">
        <v>19.941146731101249</v>
      </c>
    </row>
    <row r="8719" spans="2:2" ht="15">
      <c r="B8719" s="181">
        <v>31.382246076750398</v>
      </c>
    </row>
    <row r="8720" spans="2:2" ht="15">
      <c r="B8720" s="181">
        <v>14.086746994662942</v>
      </c>
    </row>
    <row r="8721" spans="2:2" ht="15">
      <c r="B8721" s="181">
        <v>43.960113106625144</v>
      </c>
    </row>
    <row r="8722" spans="2:2" ht="15">
      <c r="B8722" s="181">
        <v>15.532177665650725</v>
      </c>
    </row>
    <row r="8723" spans="2:2" ht="15">
      <c r="B8723" s="181">
        <v>7.3239651491180533</v>
      </c>
    </row>
    <row r="8724" spans="2:2" ht="15">
      <c r="B8724" s="181">
        <v>14.187037069435156</v>
      </c>
    </row>
    <row r="8725" spans="2:2" ht="15">
      <c r="B8725" s="181">
        <v>15.649704542533323</v>
      </c>
    </row>
    <row r="8726" spans="2:2" ht="15">
      <c r="B8726" s="181">
        <v>35.818643464161582</v>
      </c>
    </row>
    <row r="8727" spans="2:2" ht="15">
      <c r="B8727" s="181">
        <v>17.780662477273996</v>
      </c>
    </row>
    <row r="8728" spans="2:2" ht="15">
      <c r="B8728" s="181">
        <v>20.009848606722464</v>
      </c>
    </row>
    <row r="8729" spans="2:2" ht="15">
      <c r="B8729" s="181">
        <v>5.7339644282849749</v>
      </c>
    </row>
    <row r="8730" spans="2:2" ht="15">
      <c r="B8730" s="181">
        <v>6.9630104944412441</v>
      </c>
    </row>
    <row r="8731" spans="2:2" ht="15">
      <c r="B8731" s="181">
        <v>33.279147799770065</v>
      </c>
    </row>
    <row r="8732" spans="2:2" ht="15">
      <c r="B8732" s="181">
        <v>20.934277671130971</v>
      </c>
    </row>
    <row r="8733" spans="2:2" ht="15">
      <c r="B8733" s="181">
        <v>32.719507816643556</v>
      </c>
    </row>
    <row r="8734" spans="2:2" ht="15">
      <c r="B8734" s="181">
        <v>11.418089805366685</v>
      </c>
    </row>
    <row r="8735" spans="2:2" ht="15">
      <c r="B8735" s="181">
        <v>21.336242027928854</v>
      </c>
    </row>
    <row r="8736" spans="2:2" ht="15">
      <c r="B8736" s="181">
        <v>26.770429266764712</v>
      </c>
    </row>
    <row r="8737" spans="2:2" ht="15">
      <c r="B8737" s="181">
        <v>34.93174265152615</v>
      </c>
    </row>
    <row r="8738" spans="2:2" ht="15">
      <c r="B8738" s="181">
        <v>15.637909309141921</v>
      </c>
    </row>
    <row r="8739" spans="2:2" ht="15">
      <c r="B8739" s="181">
        <v>17.748386489045895</v>
      </c>
    </row>
    <row r="8740" spans="2:2" ht="15">
      <c r="B8740" s="181">
        <v>13.241866557263668</v>
      </c>
    </row>
    <row r="8741" spans="2:2" ht="15">
      <c r="B8741" s="181">
        <v>8.1080088275855839</v>
      </c>
    </row>
    <row r="8742" spans="2:2" ht="15">
      <c r="B8742" s="181">
        <v>23.919796319304265</v>
      </c>
    </row>
    <row r="8743" spans="2:2" ht="15">
      <c r="B8743" s="181">
        <v>14.789430704289803</v>
      </c>
    </row>
    <row r="8744" spans="2:2" ht="15">
      <c r="B8744" s="181">
        <v>8.0860639755109602</v>
      </c>
    </row>
    <row r="8745" spans="2:2" ht="15">
      <c r="B8745" s="181">
        <v>3.5223829066773269</v>
      </c>
    </row>
    <row r="8746" spans="2:2" ht="15">
      <c r="B8746" s="181">
        <v>13.697618491933254</v>
      </c>
    </row>
    <row r="8747" spans="2:2" ht="15">
      <c r="B8747" s="181">
        <v>12.978155523571429</v>
      </c>
    </row>
    <row r="8748" spans="2:2" ht="15">
      <c r="B8748" s="181">
        <v>19.102782324619543</v>
      </c>
    </row>
    <row r="8749" spans="2:2" ht="15">
      <c r="B8749" s="181">
        <v>33.524709317551689</v>
      </c>
    </row>
    <row r="8750" spans="2:2" ht="15">
      <c r="B8750" s="181">
        <v>22.629600190791354</v>
      </c>
    </row>
    <row r="8751" spans="2:2" ht="15">
      <c r="B8751" s="181">
        <v>23.051860934379715</v>
      </c>
    </row>
    <row r="8752" spans="2:2" ht="15">
      <c r="B8752" s="181">
        <v>19.584666684111799</v>
      </c>
    </row>
    <row r="8753" spans="2:2" ht="15">
      <c r="B8753" s="181">
        <v>8.8933014464515701</v>
      </c>
    </row>
    <row r="8754" spans="2:2" ht="15">
      <c r="B8754" s="181">
        <v>9.8679005969200659</v>
      </c>
    </row>
    <row r="8755" spans="2:2" ht="15">
      <c r="B8755" s="181">
        <v>21.926198499277003</v>
      </c>
    </row>
    <row r="8756" spans="2:2" ht="15">
      <c r="B8756" s="181">
        <v>8.8411881997725512</v>
      </c>
    </row>
    <row r="8757" spans="2:2" ht="15">
      <c r="B8757" s="181">
        <v>69.41331259232885</v>
      </c>
    </row>
    <row r="8758" spans="2:2" ht="15">
      <c r="B8758" s="181">
        <v>19.850088994300087</v>
      </c>
    </row>
    <row r="8759" spans="2:2" ht="15">
      <c r="B8759" s="181">
        <v>31.837881677732579</v>
      </c>
    </row>
    <row r="8760" spans="2:2" ht="15">
      <c r="B8760" s="181">
        <v>17.549980550882516</v>
      </c>
    </row>
    <row r="8761" spans="2:2" ht="15">
      <c r="B8761" s="181">
        <v>7.2238621468509336</v>
      </c>
    </row>
    <row r="8762" spans="2:2" ht="15">
      <c r="B8762" s="181">
        <v>7.7608658661021641</v>
      </c>
    </row>
    <row r="8763" spans="2:2" ht="15">
      <c r="B8763" s="181">
        <v>13.932376531564987</v>
      </c>
    </row>
    <row r="8764" spans="2:2" ht="15">
      <c r="B8764" s="181">
        <v>13.512165561894365</v>
      </c>
    </row>
    <row r="8765" spans="2:2" ht="15">
      <c r="B8765" s="181">
        <v>18.972252281944709</v>
      </c>
    </row>
    <row r="8766" spans="2:2" ht="15">
      <c r="B8766" s="181">
        <v>24.030804771159094</v>
      </c>
    </row>
    <row r="8767" spans="2:2" ht="15">
      <c r="B8767" s="181">
        <v>17.97448223915838</v>
      </c>
    </row>
    <row r="8768" spans="2:2" ht="15">
      <c r="B8768" s="181">
        <v>30.054469292666877</v>
      </c>
    </row>
    <row r="8769" spans="2:2" ht="15">
      <c r="B8769" s="181">
        <v>6.6551825069739623</v>
      </c>
    </row>
    <row r="8770" spans="2:2" ht="15">
      <c r="B8770" s="181">
        <v>19.982066331288056</v>
      </c>
    </row>
    <row r="8771" spans="2:2" ht="15">
      <c r="B8771" s="181">
        <v>7.8922461626426417</v>
      </c>
    </row>
    <row r="8772" spans="2:2" ht="15">
      <c r="B8772" s="181">
        <v>23.840854035267594</v>
      </c>
    </row>
    <row r="8773" spans="2:2" ht="15">
      <c r="B8773" s="181">
        <v>14.171941256664388</v>
      </c>
    </row>
    <row r="8774" spans="2:2" ht="15">
      <c r="B8774" s="181">
        <v>9.2689175115820674</v>
      </c>
    </row>
    <row r="8775" spans="2:2" ht="15">
      <c r="B8775" s="181">
        <v>17.860846595406315</v>
      </c>
    </row>
    <row r="8776" spans="2:2" ht="15">
      <c r="B8776" s="181">
        <v>15.635695856019801</v>
      </c>
    </row>
    <row r="8777" spans="2:2" ht="15">
      <c r="B8777" s="181">
        <v>16.259006808114947</v>
      </c>
    </row>
    <row r="8778" spans="2:2" ht="15">
      <c r="B8778" s="181">
        <v>27.986132393655637</v>
      </c>
    </row>
    <row r="8779" spans="2:2" ht="15">
      <c r="B8779" s="181">
        <v>24.870187929516646</v>
      </c>
    </row>
    <row r="8780" spans="2:2" ht="15">
      <c r="B8780" s="181">
        <v>11.65170785136314</v>
      </c>
    </row>
    <row r="8781" spans="2:2" ht="15">
      <c r="B8781" s="181">
        <v>14.342734166376625</v>
      </c>
    </row>
    <row r="8782" spans="2:2" ht="15">
      <c r="B8782" s="181">
        <v>27.324427591815336</v>
      </c>
    </row>
    <row r="8783" spans="2:2" ht="15">
      <c r="B8783" s="181">
        <v>10.571428539459577</v>
      </c>
    </row>
    <row r="8784" spans="2:2" ht="15">
      <c r="B8784" s="181">
        <v>9.3097912127379132</v>
      </c>
    </row>
    <row r="8785" spans="2:2" ht="15">
      <c r="B8785" s="181">
        <v>22.321630524432525</v>
      </c>
    </row>
    <row r="8786" spans="2:2" ht="15">
      <c r="B8786" s="181">
        <v>21.592788014766118</v>
      </c>
    </row>
    <row r="8787" spans="2:2" ht="15">
      <c r="B8787" s="181">
        <v>5.2659791249926666</v>
      </c>
    </row>
    <row r="8788" spans="2:2" ht="15">
      <c r="B8788" s="181">
        <v>18.39929719492261</v>
      </c>
    </row>
    <row r="8789" spans="2:2" ht="15">
      <c r="B8789" s="181">
        <v>9.9219390500475608</v>
      </c>
    </row>
    <row r="8790" spans="2:2" ht="15">
      <c r="B8790" s="181">
        <v>36.811530632478743</v>
      </c>
    </row>
    <row r="8791" spans="2:2" ht="15">
      <c r="B8791" s="181">
        <v>7.3516243705423001</v>
      </c>
    </row>
    <row r="8792" spans="2:2" ht="15">
      <c r="B8792" s="181">
        <v>13.201426627741661</v>
      </c>
    </row>
    <row r="8793" spans="2:2" ht="15">
      <c r="B8793" s="181">
        <v>7.021361219936348</v>
      </c>
    </row>
    <row r="8794" spans="2:2" ht="15">
      <c r="B8794" s="181">
        <v>14.071233116908498</v>
      </c>
    </row>
    <row r="8795" spans="2:2" ht="15">
      <c r="B8795" s="181">
        <v>22.315127924457208</v>
      </c>
    </row>
    <row r="8796" spans="2:2" ht="15">
      <c r="B8796" s="181">
        <v>18.104727770964899</v>
      </c>
    </row>
    <row r="8797" spans="2:2" ht="15">
      <c r="B8797" s="181">
        <v>14.429027201091964</v>
      </c>
    </row>
    <row r="8798" spans="2:2" ht="15">
      <c r="B8798" s="181">
        <v>21.822467968237891</v>
      </c>
    </row>
    <row r="8799" spans="2:2" ht="15">
      <c r="B8799" s="181">
        <v>23.386852003995951</v>
      </c>
    </row>
    <row r="8800" spans="2:2" ht="15">
      <c r="B8800" s="181">
        <v>18.208490559967029</v>
      </c>
    </row>
    <row r="8801" spans="2:2" ht="15">
      <c r="B8801" s="181">
        <v>32.178042554714651</v>
      </c>
    </row>
    <row r="8802" spans="2:2" ht="15">
      <c r="B8802" s="181">
        <v>18.191418611046661</v>
      </c>
    </row>
    <row r="8803" spans="2:2" ht="15">
      <c r="B8803" s="181">
        <v>18.090932884849419</v>
      </c>
    </row>
    <row r="8804" spans="2:2" ht="15">
      <c r="B8804" s="181">
        <v>13.263793411264013</v>
      </c>
    </row>
    <row r="8805" spans="2:2" ht="15">
      <c r="B8805" s="181">
        <v>12.728541193756255</v>
      </c>
    </row>
    <row r="8806" spans="2:2" ht="15">
      <c r="B8806" s="181">
        <v>31.077143190137036</v>
      </c>
    </row>
    <row r="8807" spans="2:2" ht="15">
      <c r="B8807" s="181">
        <v>12.39024532276277</v>
      </c>
    </row>
    <row r="8808" spans="2:2" ht="15">
      <c r="B8808" s="181">
        <v>15.992146809835502</v>
      </c>
    </row>
    <row r="8809" spans="2:2" ht="15">
      <c r="B8809" s="181">
        <v>17.406779525098944</v>
      </c>
    </row>
    <row r="8810" spans="2:2" ht="15">
      <c r="B8810" s="181">
        <v>27.068346429027411</v>
      </c>
    </row>
    <row r="8811" spans="2:2" ht="15">
      <c r="B8811" s="181">
        <v>28.163597850235647</v>
      </c>
    </row>
    <row r="8812" spans="2:2" ht="15">
      <c r="B8812" s="181">
        <v>33.819535368968054</v>
      </c>
    </row>
    <row r="8813" spans="2:2" ht="15">
      <c r="B8813" s="181">
        <v>21.351650283042762</v>
      </c>
    </row>
    <row r="8814" spans="2:2" ht="15">
      <c r="B8814" s="181">
        <v>14.952321896450359</v>
      </c>
    </row>
    <row r="8815" spans="2:2" ht="15">
      <c r="B8815" s="181">
        <v>16.931387004786483</v>
      </c>
    </row>
    <row r="8816" spans="2:2" ht="15">
      <c r="B8816" s="181">
        <v>16.66454397567022</v>
      </c>
    </row>
    <row r="8817" spans="2:2" ht="15">
      <c r="B8817" s="181">
        <v>6.9617589766977854</v>
      </c>
    </row>
    <row r="8818" spans="2:2" ht="15">
      <c r="B8818" s="181">
        <v>16.50606271659295</v>
      </c>
    </row>
    <row r="8819" spans="2:2" ht="15">
      <c r="B8819" s="181">
        <v>11.060954166354678</v>
      </c>
    </row>
    <row r="8820" spans="2:2" ht="15">
      <c r="B8820" s="181">
        <v>9.2732676504691938</v>
      </c>
    </row>
    <row r="8821" spans="2:2" ht="15">
      <c r="B8821" s="181">
        <v>8.0389644859977807</v>
      </c>
    </row>
    <row r="8822" spans="2:2" ht="15">
      <c r="B8822" s="181">
        <v>12.173721076146681</v>
      </c>
    </row>
    <row r="8823" spans="2:2" ht="15">
      <c r="B8823" s="181">
        <v>22.784669866178788</v>
      </c>
    </row>
    <row r="8824" spans="2:2" ht="15">
      <c r="B8824" s="181">
        <v>27.532671142456827</v>
      </c>
    </row>
    <row r="8825" spans="2:2" ht="15">
      <c r="B8825" s="181">
        <v>37.789386797753821</v>
      </c>
    </row>
    <row r="8826" spans="2:2" ht="15">
      <c r="B8826" s="181">
        <v>16.57658992772874</v>
      </c>
    </row>
    <row r="8827" spans="2:2" ht="15">
      <c r="B8827" s="181">
        <v>19.599297274426789</v>
      </c>
    </row>
    <row r="8828" spans="2:2" ht="15">
      <c r="B8828" s="181">
        <v>11.823825934006132</v>
      </c>
    </row>
    <row r="8829" spans="2:2" ht="15">
      <c r="B8829" s="181">
        <v>15.502439066333704</v>
      </c>
    </row>
    <row r="8830" spans="2:2" ht="15">
      <c r="B8830" s="181">
        <v>19.309357483831768</v>
      </c>
    </row>
    <row r="8831" spans="2:2" ht="15">
      <c r="B8831" s="181">
        <v>22.204793687292103</v>
      </c>
    </row>
    <row r="8832" spans="2:2" ht="15">
      <c r="B8832" s="181">
        <v>9.913743376123314</v>
      </c>
    </row>
    <row r="8833" spans="2:2" ht="15">
      <c r="B8833" s="181">
        <v>21.958230568261509</v>
      </c>
    </row>
    <row r="8834" spans="2:2" ht="15">
      <c r="B8834" s="181">
        <v>14.717724038493536</v>
      </c>
    </row>
    <row r="8835" spans="2:2" ht="15">
      <c r="B8835" s="181">
        <v>15.471472890281319</v>
      </c>
    </row>
    <row r="8836" spans="2:2" ht="15">
      <c r="B8836" s="181">
        <v>32.727403604589036</v>
      </c>
    </row>
    <row r="8837" spans="2:2" ht="15">
      <c r="B8837" s="181">
        <v>29.628657971494405</v>
      </c>
    </row>
    <row r="8838" spans="2:2" ht="15">
      <c r="B8838" s="181">
        <v>20.282055224140517</v>
      </c>
    </row>
    <row r="8839" spans="2:2" ht="15">
      <c r="B8839" s="181">
        <v>12.527510348207249</v>
      </c>
    </row>
    <row r="8840" spans="2:2" ht="15">
      <c r="B8840" s="181">
        <v>27.022114433196819</v>
      </c>
    </row>
    <row r="8841" spans="2:2" ht="15">
      <c r="B8841" s="181">
        <v>19.962000818927553</v>
      </c>
    </row>
    <row r="8842" spans="2:2" ht="15">
      <c r="B8842" s="181">
        <v>27.493967513815821</v>
      </c>
    </row>
    <row r="8843" spans="2:2" ht="15">
      <c r="B8843" s="181">
        <v>22.931978755103067</v>
      </c>
    </row>
    <row r="8844" spans="2:2" ht="15">
      <c r="B8844" s="181">
        <v>34.354700141128831</v>
      </c>
    </row>
    <row r="8845" spans="2:2" ht="15">
      <c r="B8845" s="181">
        <v>26.620750095248784</v>
      </c>
    </row>
    <row r="8846" spans="2:2" ht="15">
      <c r="B8846" s="181">
        <v>7.4368525053327605</v>
      </c>
    </row>
    <row r="8847" spans="2:2" ht="15">
      <c r="B8847" s="181">
        <v>17.31965846664718</v>
      </c>
    </row>
    <row r="8848" spans="2:2" ht="15">
      <c r="B8848" s="181">
        <v>12.374336350385121</v>
      </c>
    </row>
    <row r="8849" spans="2:2" ht="15">
      <c r="B8849" s="181">
        <v>23.758678101415242</v>
      </c>
    </row>
    <row r="8850" spans="2:2" ht="15">
      <c r="B8850" s="181">
        <v>8.2225776888975464</v>
      </c>
    </row>
    <row r="8851" spans="2:2" ht="15">
      <c r="B8851" s="181">
        <v>45.227654631921517</v>
      </c>
    </row>
    <row r="8852" spans="2:2" ht="15">
      <c r="B8852" s="181">
        <v>7.2665275069261934</v>
      </c>
    </row>
    <row r="8853" spans="2:2" ht="15">
      <c r="B8853" s="181">
        <v>8.8583337098475443</v>
      </c>
    </row>
    <row r="8854" spans="2:2" ht="15">
      <c r="B8854" s="181">
        <v>20.884043456361397</v>
      </c>
    </row>
    <row r="8855" spans="2:2" ht="15">
      <c r="B8855" s="181">
        <v>17.404398562466188</v>
      </c>
    </row>
    <row r="8856" spans="2:2" ht="15">
      <c r="B8856" s="181">
        <v>24.053268604759225</v>
      </c>
    </row>
    <row r="8857" spans="2:2" ht="15">
      <c r="B8857" s="181">
        <v>18.169209959104112</v>
      </c>
    </row>
    <row r="8858" spans="2:2" ht="15">
      <c r="B8858" s="181">
        <v>8.9206792806983479</v>
      </c>
    </row>
    <row r="8859" spans="2:2" ht="15">
      <c r="B8859" s="181">
        <v>28.485077248494736</v>
      </c>
    </row>
    <row r="8860" spans="2:2" ht="15">
      <c r="B8860" s="181">
        <v>15.138940750975083</v>
      </c>
    </row>
    <row r="8861" spans="2:2" ht="15">
      <c r="B8861" s="181">
        <v>24.604681115410585</v>
      </c>
    </row>
    <row r="8862" spans="2:2" ht="15">
      <c r="B8862" s="181">
        <v>17.644173382330472</v>
      </c>
    </row>
    <row r="8863" spans="2:2" ht="15">
      <c r="B8863" s="181">
        <v>20.90854814082692</v>
      </c>
    </row>
    <row r="8864" spans="2:2" ht="15">
      <c r="B8864" s="181">
        <v>16.982051573154511</v>
      </c>
    </row>
    <row r="8865" spans="2:2" ht="15">
      <c r="B8865" s="181">
        <v>22.159848272266238</v>
      </c>
    </row>
    <row r="8866" spans="2:2" ht="15">
      <c r="B8866" s="181">
        <v>12.351046838948664</v>
      </c>
    </row>
    <row r="8867" spans="2:2" ht="15">
      <c r="B8867" s="181">
        <v>13.782789834678383</v>
      </c>
    </row>
    <row r="8868" spans="2:2" ht="15">
      <c r="B8868" s="181">
        <v>5.6310109453677732</v>
      </c>
    </row>
    <row r="8869" spans="2:2" ht="15">
      <c r="B8869" s="181">
        <v>35.506125981487209</v>
      </c>
    </row>
    <row r="8870" spans="2:2" ht="15">
      <c r="B8870" s="181">
        <v>13.633452027011764</v>
      </c>
    </row>
    <row r="8871" spans="2:2" ht="15">
      <c r="B8871" s="181">
        <v>14.567118118714415</v>
      </c>
    </row>
    <row r="8872" spans="2:2" ht="15">
      <c r="B8872" s="181">
        <v>27.944705583986575</v>
      </c>
    </row>
    <row r="8873" spans="2:2" ht="15">
      <c r="B8873" s="181">
        <v>30.80677746947319</v>
      </c>
    </row>
    <row r="8874" spans="2:2" ht="15">
      <c r="B8874" s="181">
        <v>37.002389946503875</v>
      </c>
    </row>
    <row r="8875" spans="2:2" ht="15">
      <c r="B8875" s="181">
        <v>19.400639303330323</v>
      </c>
    </row>
    <row r="8876" spans="2:2" ht="15">
      <c r="B8876" s="181">
        <v>14.264654110950149</v>
      </c>
    </row>
    <row r="8877" spans="2:2" ht="15">
      <c r="B8877" s="181">
        <v>19.382947655030897</v>
      </c>
    </row>
    <row r="8878" spans="2:2" ht="15">
      <c r="B8878" s="181">
        <v>18.245348667690653</v>
      </c>
    </row>
    <row r="8879" spans="2:2" ht="15">
      <c r="B8879" s="181">
        <v>13.850250854957698</v>
      </c>
    </row>
    <row r="8880" spans="2:2" ht="15">
      <c r="B8880" s="181">
        <v>12.448517797323756</v>
      </c>
    </row>
    <row r="8881" spans="2:2" ht="15">
      <c r="B8881" s="181">
        <v>51.983263888042742</v>
      </c>
    </row>
    <row r="8882" spans="2:2" ht="15">
      <c r="B8882" s="181">
        <v>17.582054711331292</v>
      </c>
    </row>
    <row r="8883" spans="2:2" ht="15">
      <c r="B8883" s="181">
        <v>15.30031390140525</v>
      </c>
    </row>
    <row r="8884" spans="2:2" ht="15">
      <c r="B8884" s="181">
        <v>36.27192688918722</v>
      </c>
    </row>
    <row r="8885" spans="2:2" ht="15">
      <c r="B8885" s="181">
        <v>15.021444520772468</v>
      </c>
    </row>
    <row r="8886" spans="2:2" ht="15">
      <c r="B8886" s="181">
        <v>37.107862972078877</v>
      </c>
    </row>
    <row r="8887" spans="2:2" ht="15">
      <c r="B8887" s="181">
        <v>27.522594497516412</v>
      </c>
    </row>
    <row r="8888" spans="2:2" ht="15">
      <c r="B8888" s="181">
        <v>17.014444009739083</v>
      </c>
    </row>
    <row r="8889" spans="2:2" ht="15">
      <c r="B8889" s="181">
        <v>18.979120348136107</v>
      </c>
    </row>
    <row r="8890" spans="2:2" ht="15">
      <c r="B8890" s="181">
        <v>11.706579424045971</v>
      </c>
    </row>
    <row r="8891" spans="2:2" ht="15">
      <c r="B8891" s="181">
        <v>24.654044110380244</v>
      </c>
    </row>
    <row r="8892" spans="2:2" ht="15">
      <c r="B8892" s="181">
        <v>40.865915621668698</v>
      </c>
    </row>
    <row r="8893" spans="2:2" ht="15">
      <c r="B8893" s="181">
        <v>43.670986190804697</v>
      </c>
    </row>
    <row r="8894" spans="2:2" ht="15">
      <c r="B8894" s="181">
        <v>32.032603908549554</v>
      </c>
    </row>
    <row r="8895" spans="2:2" ht="15">
      <c r="B8895" s="181">
        <v>16.667025010063099</v>
      </c>
    </row>
    <row r="8896" spans="2:2" ht="15">
      <c r="B8896" s="181">
        <v>21.961233647182688</v>
      </c>
    </row>
    <row r="8897" spans="2:2" ht="15">
      <c r="B8897" s="181">
        <v>19.601540478230266</v>
      </c>
    </row>
    <row r="8898" spans="2:2" ht="15">
      <c r="B8898" s="181">
        <v>36.653014120064128</v>
      </c>
    </row>
    <row r="8899" spans="2:2" ht="15">
      <c r="B8899" s="181">
        <v>34.680920487231148</v>
      </c>
    </row>
    <row r="8900" spans="2:2" ht="15">
      <c r="B8900" s="181">
        <v>21.195305494660353</v>
      </c>
    </row>
    <row r="8901" spans="2:2" ht="15">
      <c r="B8901" s="181">
        <v>12.568846997706659</v>
      </c>
    </row>
    <row r="8902" spans="2:2" ht="15">
      <c r="B8902" s="181">
        <v>36.642964646367588</v>
      </c>
    </row>
    <row r="8903" spans="2:2" ht="15">
      <c r="B8903" s="181">
        <v>21.263651305528025</v>
      </c>
    </row>
    <row r="8904" spans="2:2" ht="15">
      <c r="B8904" s="181">
        <v>14.770952634329225</v>
      </c>
    </row>
    <row r="8905" spans="2:2" ht="15">
      <c r="B8905" s="181">
        <v>10.627779275743197</v>
      </c>
    </row>
    <row r="8906" spans="2:2" ht="15">
      <c r="B8906" s="181">
        <v>13.059508364369856</v>
      </c>
    </row>
    <row r="8907" spans="2:2" ht="15">
      <c r="B8907" s="181">
        <v>6.4511958326089038</v>
      </c>
    </row>
    <row r="8908" spans="2:2" ht="15">
      <c r="B8908" s="181">
        <v>19.618516111432594</v>
      </c>
    </row>
    <row r="8909" spans="2:2" ht="15">
      <c r="B8909" s="181">
        <v>20.052951166438525</v>
      </c>
    </row>
    <row r="8910" spans="2:2" ht="15">
      <c r="B8910" s="181">
        <v>22.223686269243149</v>
      </c>
    </row>
    <row r="8911" spans="2:2" ht="15">
      <c r="B8911" s="181">
        <v>18.957120446610606</v>
      </c>
    </row>
    <row r="8912" spans="2:2" ht="15">
      <c r="B8912" s="181">
        <v>23.368837617074444</v>
      </c>
    </row>
    <row r="8913" spans="2:2" ht="15">
      <c r="B8913" s="181">
        <v>12.14046992073046</v>
      </c>
    </row>
    <row r="8914" spans="2:2" ht="15">
      <c r="B8914" s="181">
        <v>38.170196260507524</v>
      </c>
    </row>
    <row r="8915" spans="2:2" ht="15">
      <c r="B8915" s="181">
        <v>31.126757543580879</v>
      </c>
    </row>
    <row r="8916" spans="2:2" ht="15">
      <c r="B8916" s="181">
        <v>24.034129767334615</v>
      </c>
    </row>
    <row r="8917" spans="2:2" ht="15">
      <c r="B8917" s="181">
        <v>41.296057524588797</v>
      </c>
    </row>
    <row r="8918" spans="2:2" ht="15">
      <c r="B8918" s="181">
        <v>14.295447065725915</v>
      </c>
    </row>
    <row r="8919" spans="2:2" ht="15">
      <c r="B8919" s="181">
        <v>9.5912399854253909</v>
      </c>
    </row>
    <row r="8920" spans="2:2" ht="15">
      <c r="B8920" s="181">
        <v>26.815836355582054</v>
      </c>
    </row>
    <row r="8921" spans="2:2" ht="15">
      <c r="B8921" s="181">
        <v>24.332013422167073</v>
      </c>
    </row>
    <row r="8922" spans="2:2" ht="15">
      <c r="B8922" s="181">
        <v>27.73330884541112</v>
      </c>
    </row>
    <row r="8923" spans="2:2" ht="15">
      <c r="B8923" s="181">
        <v>11.667399963980941</v>
      </c>
    </row>
    <row r="8924" spans="2:2" ht="15">
      <c r="B8924" s="181">
        <v>18.732609177965973</v>
      </c>
    </row>
    <row r="8925" spans="2:2" ht="15">
      <c r="B8925" s="181">
        <v>19.816843403933508</v>
      </c>
    </row>
    <row r="8926" spans="2:2" ht="15">
      <c r="B8926" s="181">
        <v>10.172450862088548</v>
      </c>
    </row>
    <row r="8927" spans="2:2" ht="15">
      <c r="B8927" s="181">
        <v>17.383008803904143</v>
      </c>
    </row>
    <row r="8928" spans="2:2" ht="15">
      <c r="B8928" s="181">
        <v>14.029920684504745</v>
      </c>
    </row>
    <row r="8929" spans="2:2" ht="15">
      <c r="B8929" s="181">
        <v>12.579969978452031</v>
      </c>
    </row>
    <row r="8930" spans="2:2" ht="15">
      <c r="B8930" s="181">
        <v>24.53597279472757</v>
      </c>
    </row>
    <row r="8931" spans="2:2" ht="15">
      <c r="B8931" s="181">
        <v>24.481142051419368</v>
      </c>
    </row>
    <row r="8932" spans="2:2" ht="15">
      <c r="B8932" s="181">
        <v>14.56882932973453</v>
      </c>
    </row>
    <row r="8933" spans="2:2" ht="15">
      <c r="B8933" s="181">
        <v>10.089209016888415</v>
      </c>
    </row>
    <row r="8934" spans="2:2" ht="15">
      <c r="B8934" s="181">
        <v>7.6809146596888089</v>
      </c>
    </row>
    <row r="8935" spans="2:2" ht="15">
      <c r="B8935" s="181">
        <v>42.832158194740799</v>
      </c>
    </row>
    <row r="8936" spans="2:2" ht="15">
      <c r="B8936" s="181">
        <v>7.7245396604228329</v>
      </c>
    </row>
    <row r="8937" spans="2:2" ht="15">
      <c r="B8937" s="181">
        <v>36.334819564551822</v>
      </c>
    </row>
    <row r="8938" spans="2:2" ht="15">
      <c r="B8938" s="181">
        <v>11.802520828022681</v>
      </c>
    </row>
    <row r="8939" spans="2:2" ht="15">
      <c r="B8939" s="181">
        <v>12.446375967085315</v>
      </c>
    </row>
    <row r="8940" spans="2:2" ht="15">
      <c r="B8940" s="181">
        <v>26.783175418665095</v>
      </c>
    </row>
    <row r="8941" spans="2:2" ht="15">
      <c r="B8941" s="181">
        <v>27.53615114208322</v>
      </c>
    </row>
    <row r="8942" spans="2:2" ht="15">
      <c r="B8942" s="181">
        <v>21.249234484350797</v>
      </c>
    </row>
    <row r="8943" spans="2:2" ht="15">
      <c r="B8943" s="181">
        <v>9.5645619465529599</v>
      </c>
    </row>
    <row r="8944" spans="2:2" ht="15">
      <c r="B8944" s="181">
        <v>17.017285395350548</v>
      </c>
    </row>
    <row r="8945" spans="2:2" ht="15">
      <c r="B8945" s="181">
        <v>20.551537953868795</v>
      </c>
    </row>
    <row r="8946" spans="2:2" ht="15">
      <c r="B8946" s="181">
        <v>8.1212766491316675</v>
      </c>
    </row>
    <row r="8947" spans="2:2" ht="15">
      <c r="B8947" s="181">
        <v>10.306896980523987</v>
      </c>
    </row>
    <row r="8948" spans="2:2" ht="15">
      <c r="B8948" s="181">
        <v>15.721474751973016</v>
      </c>
    </row>
    <row r="8949" spans="2:2" ht="15">
      <c r="B8949" s="181">
        <v>12.506431037741086</v>
      </c>
    </row>
    <row r="8950" spans="2:2" ht="15">
      <c r="B8950" s="181">
        <v>10.871860120768851</v>
      </c>
    </row>
    <row r="8951" spans="2:2" ht="15">
      <c r="B8951" s="181">
        <v>43.322832224378331</v>
      </c>
    </row>
    <row r="8952" spans="2:2" ht="15">
      <c r="B8952" s="181">
        <v>26.183895956372812</v>
      </c>
    </row>
    <row r="8953" spans="2:2" ht="15">
      <c r="B8953" s="181">
        <v>18.629572205450845</v>
      </c>
    </row>
    <row r="8954" spans="2:2" ht="15">
      <c r="B8954" s="181">
        <v>25.013341173012474</v>
      </c>
    </row>
    <row r="8955" spans="2:2" ht="15">
      <c r="B8955" s="181">
        <v>12.683320838547845</v>
      </c>
    </row>
    <row r="8956" spans="2:2" ht="15">
      <c r="B8956" s="181">
        <v>29.094434225995599</v>
      </c>
    </row>
    <row r="8957" spans="2:2" ht="15">
      <c r="B8957" s="181">
        <v>16.008036640420627</v>
      </c>
    </row>
    <row r="8958" spans="2:2" ht="15">
      <c r="B8958" s="181">
        <v>34.802751925853848</v>
      </c>
    </row>
    <row r="8959" spans="2:2" ht="15">
      <c r="B8959" s="181">
        <v>16.049734982743203</v>
      </c>
    </row>
    <row r="8960" spans="2:2" ht="15">
      <c r="B8960" s="181">
        <v>18.199210150939173</v>
      </c>
    </row>
    <row r="8961" spans="2:2" ht="15">
      <c r="B8961" s="181">
        <v>18.371123512376073</v>
      </c>
    </row>
    <row r="8962" spans="2:2" ht="15">
      <c r="B8962" s="181">
        <v>32.568291035537172</v>
      </c>
    </row>
    <row r="8963" spans="2:2" ht="15">
      <c r="B8963" s="181">
        <v>13.844834373982197</v>
      </c>
    </row>
    <row r="8964" spans="2:2" ht="15">
      <c r="B8964" s="181">
        <v>30.145294507804117</v>
      </c>
    </row>
    <row r="8965" spans="2:2" ht="15">
      <c r="B8965" s="181">
        <v>5.2321895710128929</v>
      </c>
    </row>
    <row r="8966" spans="2:2" ht="15">
      <c r="B8966" s="181">
        <v>17.422759083950542</v>
      </c>
    </row>
    <row r="8967" spans="2:2" ht="15">
      <c r="B8967" s="181">
        <v>19.108929826552817</v>
      </c>
    </row>
    <row r="8968" spans="2:2" ht="15">
      <c r="B8968" s="181">
        <v>19.008861265301576</v>
      </c>
    </row>
    <row r="8969" spans="2:2" ht="15">
      <c r="B8969" s="181">
        <v>15.889333811599188</v>
      </c>
    </row>
    <row r="8970" spans="2:2" ht="15">
      <c r="B8970" s="181">
        <v>11.968608867710008</v>
      </c>
    </row>
    <row r="8971" spans="2:2" ht="15">
      <c r="B8971" s="181">
        <v>32.812178786932449</v>
      </c>
    </row>
    <row r="8972" spans="2:2" ht="15">
      <c r="B8972" s="181">
        <v>19.640902160926665</v>
      </c>
    </row>
    <row r="8973" spans="2:2" ht="15">
      <c r="B8973" s="181">
        <v>12.908449968190823</v>
      </c>
    </row>
    <row r="8974" spans="2:2" ht="15">
      <c r="B8974" s="181">
        <v>31.611177039226884</v>
      </c>
    </row>
    <row r="8975" spans="2:2" ht="15">
      <c r="B8975" s="181">
        <v>20.829432314262807</v>
      </c>
    </row>
    <row r="8976" spans="2:2" ht="15">
      <c r="B8976" s="181">
        <v>11.939436400993777</v>
      </c>
    </row>
    <row r="8977" spans="2:2" ht="15">
      <c r="B8977" s="181">
        <v>9.3030536260986398</v>
      </c>
    </row>
    <row r="8978" spans="2:2" ht="15">
      <c r="B8978" s="181">
        <v>23.006363842414025</v>
      </c>
    </row>
    <row r="8979" spans="2:2" ht="15">
      <c r="B8979" s="181">
        <v>25.33707731566103</v>
      </c>
    </row>
    <row r="8980" spans="2:2" ht="15">
      <c r="B8980" s="181">
        <v>36.948382635408045</v>
      </c>
    </row>
    <row r="8981" spans="2:2" ht="15">
      <c r="B8981" s="181">
        <v>27.639887737594407</v>
      </c>
    </row>
    <row r="8982" spans="2:2" ht="15">
      <c r="B8982" s="181">
        <v>12.278280876115016</v>
      </c>
    </row>
    <row r="8983" spans="2:2" ht="15">
      <c r="B8983" s="181">
        <v>8.1022817087881371</v>
      </c>
    </row>
    <row r="8984" spans="2:2" ht="15">
      <c r="B8984" s="181">
        <v>11.531984747508796</v>
      </c>
    </row>
    <row r="8985" spans="2:2" ht="15">
      <c r="B8985" s="181">
        <v>28.041432848923574</v>
      </c>
    </row>
    <row r="8986" spans="2:2" ht="15">
      <c r="B8986" s="181">
        <v>12.169045026487883</v>
      </c>
    </row>
    <row r="8987" spans="2:2" ht="15">
      <c r="B8987" s="181">
        <v>16.558784976089093</v>
      </c>
    </row>
    <row r="8988" spans="2:2" ht="15">
      <c r="B8988" s="181">
        <v>35.773735921555229</v>
      </c>
    </row>
    <row r="8989" spans="2:2" ht="15">
      <c r="B8989" s="181">
        <v>10.137914968757592</v>
      </c>
    </row>
    <row r="8990" spans="2:2" ht="15">
      <c r="B8990" s="181">
        <v>6.4723791007346865</v>
      </c>
    </row>
    <row r="8991" spans="2:2" ht="15">
      <c r="B8991" s="181">
        <v>14.071724145525694</v>
      </c>
    </row>
    <row r="8992" spans="2:2" ht="15">
      <c r="B8992" s="181">
        <v>20.934152894287944</v>
      </c>
    </row>
    <row r="8993" spans="2:2" ht="15">
      <c r="B8993" s="181">
        <v>22.309269791467969</v>
      </c>
    </row>
    <row r="8994" spans="2:2" ht="15">
      <c r="B8994" s="181">
        <v>11.715505509173475</v>
      </c>
    </row>
    <row r="8995" spans="2:2" ht="15">
      <c r="B8995" s="181">
        <v>19.799641833464726</v>
      </c>
    </row>
    <row r="8996" spans="2:2" ht="15">
      <c r="B8996" s="181">
        <v>32.318491010389749</v>
      </c>
    </row>
    <row r="8997" spans="2:2" ht="15">
      <c r="B8997" s="181">
        <v>20.335343862966841</v>
      </c>
    </row>
    <row r="8998" spans="2:2" ht="15">
      <c r="B8998" s="181">
        <v>12.641990726712184</v>
      </c>
    </row>
    <row r="8999" spans="2:2" ht="15">
      <c r="B8999" s="181">
        <v>10.471001390528571</v>
      </c>
    </row>
    <row r="9000" spans="2:2" ht="15">
      <c r="B9000" s="181">
        <v>16.41220354529646</v>
      </c>
    </row>
    <row r="9001" spans="2:2" ht="15">
      <c r="B9001" s="181">
        <v>14.724462866707011</v>
      </c>
    </row>
    <row r="9002" spans="2:2" ht="15">
      <c r="B9002" s="181">
        <v>49.740886566035535</v>
      </c>
    </row>
    <row r="9003" spans="2:2" ht="15">
      <c r="B9003" s="181">
        <v>20.706349418726202</v>
      </c>
    </row>
    <row r="9004" spans="2:2" ht="15">
      <c r="B9004" s="181">
        <v>24.84082319153908</v>
      </c>
    </row>
    <row r="9005" spans="2:2" ht="15">
      <c r="B9005" s="181">
        <v>31.516988820116598</v>
      </c>
    </row>
    <row r="9006" spans="2:2" ht="15">
      <c r="B9006" s="181">
        <v>10.462379876488777</v>
      </c>
    </row>
    <row r="9007" spans="2:2" ht="15">
      <c r="B9007" s="181">
        <v>5.2399670763292114</v>
      </c>
    </row>
    <row r="9008" spans="2:2" ht="15">
      <c r="B9008" s="181">
        <v>16.710329336508043</v>
      </c>
    </row>
    <row r="9009" spans="2:2" ht="15">
      <c r="B9009" s="181">
        <v>12.107761244687604</v>
      </c>
    </row>
    <row r="9010" spans="2:2" ht="15">
      <c r="B9010" s="181">
        <v>24.418657673804127</v>
      </c>
    </row>
    <row r="9011" spans="2:2" ht="15">
      <c r="B9011" s="181">
        <v>37.835970004303775</v>
      </c>
    </row>
    <row r="9012" spans="2:2" ht="15">
      <c r="B9012" s="181">
        <v>7.7963287142559619</v>
      </c>
    </row>
    <row r="9013" spans="2:2" ht="15">
      <c r="B9013" s="181">
        <v>9.0996383604193234</v>
      </c>
    </row>
    <row r="9014" spans="2:2" ht="15">
      <c r="B9014" s="181">
        <v>35.752084856633751</v>
      </c>
    </row>
    <row r="9015" spans="2:2" ht="15">
      <c r="B9015" s="181">
        <v>27.166615383318494</v>
      </c>
    </row>
    <row r="9016" spans="2:2" ht="15">
      <c r="B9016" s="181">
        <v>48.515648421280552</v>
      </c>
    </row>
    <row r="9017" spans="2:2" ht="15">
      <c r="B9017" s="181">
        <v>34.588388054627266</v>
      </c>
    </row>
    <row r="9018" spans="2:2" ht="15">
      <c r="B9018" s="181">
        <v>15.930588328520612</v>
      </c>
    </row>
    <row r="9019" spans="2:2" ht="15">
      <c r="B9019" s="181">
        <v>9.5956720115072898</v>
      </c>
    </row>
    <row r="9020" spans="2:2" ht="15">
      <c r="B9020" s="181">
        <v>28.001274841490041</v>
      </c>
    </row>
    <row r="9021" spans="2:2" ht="15">
      <c r="B9021" s="181">
        <v>20.809305093374974</v>
      </c>
    </row>
    <row r="9022" spans="2:2" ht="15">
      <c r="B9022" s="181">
        <v>17.694467754982064</v>
      </c>
    </row>
    <row r="9023" spans="2:2" ht="15">
      <c r="B9023" s="181">
        <v>17.9010114834409</v>
      </c>
    </row>
    <row r="9024" spans="2:2" ht="15">
      <c r="B9024" s="181">
        <v>21.962052826120104</v>
      </c>
    </row>
    <row r="9025" spans="2:2" ht="15">
      <c r="B9025" s="181">
        <v>33.791594692789609</v>
      </c>
    </row>
    <row r="9026" spans="2:2" ht="15">
      <c r="B9026" s="181">
        <v>27.883790667580175</v>
      </c>
    </row>
    <row r="9027" spans="2:2" ht="15">
      <c r="B9027" s="181">
        <v>10.20229053764527</v>
      </c>
    </row>
    <row r="9028" spans="2:2" ht="15">
      <c r="B9028" s="181">
        <v>21.5520400550989</v>
      </c>
    </row>
    <row r="9029" spans="2:2" ht="15">
      <c r="B9029" s="181">
        <v>20.975909388400307</v>
      </c>
    </row>
    <row r="9030" spans="2:2" ht="15">
      <c r="B9030" s="181">
        <v>12.443792326260894</v>
      </c>
    </row>
    <row r="9031" spans="2:2" ht="15">
      <c r="B9031" s="181">
        <v>13.710704420617013</v>
      </c>
    </row>
    <row r="9032" spans="2:2" ht="15">
      <c r="B9032" s="181">
        <v>8.7069624560420529</v>
      </c>
    </row>
    <row r="9033" spans="2:2" ht="15">
      <c r="B9033" s="181">
        <v>20.552741544004871</v>
      </c>
    </row>
    <row r="9034" spans="2:2" ht="15">
      <c r="B9034" s="181">
        <v>29.591888672123268</v>
      </c>
    </row>
    <row r="9035" spans="2:2" ht="15">
      <c r="B9035" s="181">
        <v>18.420949219934691</v>
      </c>
    </row>
    <row r="9036" spans="2:2" ht="15">
      <c r="B9036" s="181">
        <v>12.943129210493694</v>
      </c>
    </row>
    <row r="9037" spans="2:2" ht="15">
      <c r="B9037" s="181">
        <v>15.940093787994064</v>
      </c>
    </row>
    <row r="9038" spans="2:2" ht="15">
      <c r="B9038" s="181">
        <v>34.032121012544067</v>
      </c>
    </row>
    <row r="9039" spans="2:2" ht="15">
      <c r="B9039" s="181">
        <v>32.057959401460153</v>
      </c>
    </row>
    <row r="9040" spans="2:2" ht="15">
      <c r="B9040" s="181">
        <v>27.542346810702121</v>
      </c>
    </row>
    <row r="9041" spans="2:2" ht="15">
      <c r="B9041" s="181">
        <v>11.699775685652364</v>
      </c>
    </row>
    <row r="9042" spans="2:2" ht="15">
      <c r="B9042" s="181">
        <v>9.964340339338257</v>
      </c>
    </row>
    <row r="9043" spans="2:2" ht="15">
      <c r="B9043" s="181">
        <v>23.331114481150408</v>
      </c>
    </row>
    <row r="9044" spans="2:2" ht="15">
      <c r="B9044" s="181">
        <v>17.648495468355776</v>
      </c>
    </row>
    <row r="9045" spans="2:2" ht="15">
      <c r="B9045" s="181">
        <v>14.511772568639611</v>
      </c>
    </row>
    <row r="9046" spans="2:2" ht="15">
      <c r="B9046" s="181">
        <v>5.6172573593565156</v>
      </c>
    </row>
    <row r="9047" spans="2:2" ht="15">
      <c r="B9047" s="181">
        <v>31.945781551435132</v>
      </c>
    </row>
    <row r="9048" spans="2:2" ht="15">
      <c r="B9048" s="181">
        <v>14.237231372085054</v>
      </c>
    </row>
    <row r="9049" spans="2:2" ht="15">
      <c r="B9049" s="181">
        <v>15.709938824784381</v>
      </c>
    </row>
    <row r="9050" spans="2:2" ht="15">
      <c r="B9050" s="181">
        <v>43.344653659804649</v>
      </c>
    </row>
    <row r="9051" spans="2:2" ht="15">
      <c r="B9051" s="181">
        <v>18.316030912386623</v>
      </c>
    </row>
    <row r="9052" spans="2:2" ht="15">
      <c r="B9052" s="181">
        <v>16.072980720242025</v>
      </c>
    </row>
    <row r="9053" spans="2:2" ht="15">
      <c r="B9053" s="181">
        <v>27.129381807088222</v>
      </c>
    </row>
    <row r="9054" spans="2:2" ht="15">
      <c r="B9054" s="181">
        <v>13.807603425908853</v>
      </c>
    </row>
    <row r="9055" spans="2:2" ht="15">
      <c r="B9055" s="181">
        <v>20.972031179198943</v>
      </c>
    </row>
    <row r="9056" spans="2:2" ht="15">
      <c r="B9056" s="181">
        <v>18.454242181525753</v>
      </c>
    </row>
    <row r="9057" spans="2:2" ht="15">
      <c r="B9057" s="181">
        <v>7.2024523625465573</v>
      </c>
    </row>
    <row r="9058" spans="2:2" ht="15">
      <c r="B9058" s="181">
        <v>41.865012018258774</v>
      </c>
    </row>
    <row r="9059" spans="2:2" ht="15">
      <c r="B9059" s="181">
        <v>19.368512658778236</v>
      </c>
    </row>
    <row r="9060" spans="2:2" ht="15">
      <c r="B9060" s="181">
        <v>12.365574207041899</v>
      </c>
    </row>
    <row r="9061" spans="2:2" ht="15">
      <c r="B9061" s="181">
        <v>23.145219103718901</v>
      </c>
    </row>
    <row r="9062" spans="2:2" ht="15">
      <c r="B9062" s="181">
        <v>18.529418606476987</v>
      </c>
    </row>
    <row r="9063" spans="2:2" ht="15">
      <c r="B9063" s="181">
        <v>6.054495097176134</v>
      </c>
    </row>
    <row r="9064" spans="2:2" ht="15">
      <c r="B9064" s="181">
        <v>24.982374183625993</v>
      </c>
    </row>
    <row r="9065" spans="2:2" ht="15">
      <c r="B9065" s="181">
        <v>22.008042636492593</v>
      </c>
    </row>
    <row r="9066" spans="2:2" ht="15">
      <c r="B9066" s="181">
        <v>39.240104043938047</v>
      </c>
    </row>
    <row r="9067" spans="2:2" ht="15">
      <c r="B9067" s="181">
        <v>24.696610134270461</v>
      </c>
    </row>
    <row r="9068" spans="2:2" ht="15">
      <c r="B9068" s="181">
        <v>18.563008013427186</v>
      </c>
    </row>
    <row r="9069" spans="2:2" ht="15">
      <c r="B9069" s="181">
        <v>14.048851060780876</v>
      </c>
    </row>
    <row r="9070" spans="2:2" ht="15">
      <c r="B9070" s="181">
        <v>9.7636070848051215</v>
      </c>
    </row>
    <row r="9071" spans="2:2" ht="15">
      <c r="B9071" s="181">
        <v>74.099048044106723</v>
      </c>
    </row>
    <row r="9072" spans="2:2" ht="15">
      <c r="B9072" s="181">
        <v>38.410194556092378</v>
      </c>
    </row>
    <row r="9073" spans="2:2" ht="15">
      <c r="B9073" s="181">
        <v>10.094600200286415</v>
      </c>
    </row>
    <row r="9074" spans="2:2" ht="15">
      <c r="B9074" s="181">
        <v>12.204535862884937</v>
      </c>
    </row>
    <row r="9075" spans="2:2" ht="15">
      <c r="B9075" s="181">
        <v>16.042103987636036</v>
      </c>
    </row>
    <row r="9076" spans="2:2" ht="15">
      <c r="B9076" s="181">
        <v>34.715306695671394</v>
      </c>
    </row>
    <row r="9077" spans="2:2" ht="15">
      <c r="B9077" s="181">
        <v>27.072314238191598</v>
      </c>
    </row>
    <row r="9078" spans="2:2" ht="15">
      <c r="B9078" s="181">
        <v>14.033229211833198</v>
      </c>
    </row>
    <row r="9079" spans="2:2" ht="15">
      <c r="B9079" s="181">
        <v>18.979861764068222</v>
      </c>
    </row>
    <row r="9080" spans="2:2" ht="15">
      <c r="B9080" s="181">
        <v>19.608348718588687</v>
      </c>
    </row>
    <row r="9081" spans="2:2" ht="15">
      <c r="B9081" s="181">
        <v>11.143780792639213</v>
      </c>
    </row>
    <row r="9082" spans="2:2" ht="15">
      <c r="B9082" s="181">
        <v>11.22706252235362</v>
      </c>
    </row>
    <row r="9083" spans="2:2" ht="15">
      <c r="B9083" s="181">
        <v>20.994734997415307</v>
      </c>
    </row>
    <row r="9084" spans="2:2" ht="15">
      <c r="B9084" s="181">
        <v>23.708445128596694</v>
      </c>
    </row>
    <row r="9085" spans="2:2" ht="15">
      <c r="B9085" s="181">
        <v>14.541391918249596</v>
      </c>
    </row>
    <row r="9086" spans="2:2" ht="15">
      <c r="B9086" s="181">
        <v>40.611615771489021</v>
      </c>
    </row>
    <row r="9087" spans="2:2" ht="15">
      <c r="B9087" s="181">
        <v>23.009758138201484</v>
      </c>
    </row>
    <row r="9088" spans="2:2" ht="15">
      <c r="B9088" s="181">
        <v>10.169925160134456</v>
      </c>
    </row>
    <row r="9089" spans="2:2" ht="15">
      <c r="B9089" s="181">
        <v>10.443357262683637</v>
      </c>
    </row>
    <row r="9090" spans="2:2" ht="15">
      <c r="B9090" s="181">
        <v>12.042576619191175</v>
      </c>
    </row>
    <row r="9091" spans="2:2" ht="15">
      <c r="B9091" s="181">
        <v>34.447433949012627</v>
      </c>
    </row>
    <row r="9092" spans="2:2" ht="15">
      <c r="B9092" s="181">
        <v>8.6765271116450187</v>
      </c>
    </row>
    <row r="9093" spans="2:2" ht="15">
      <c r="B9093" s="181">
        <v>19.408378157098447</v>
      </c>
    </row>
    <row r="9094" spans="2:2" ht="15">
      <c r="B9094" s="181">
        <v>31.896838804574255</v>
      </c>
    </row>
    <row r="9095" spans="2:2" ht="15">
      <c r="B9095" s="181">
        <v>15.827150903170388</v>
      </c>
    </row>
    <row r="9096" spans="2:2" ht="15">
      <c r="B9096" s="181">
        <v>20.184045397928482</v>
      </c>
    </row>
    <row r="9097" spans="2:2" ht="15">
      <c r="B9097" s="181">
        <v>12.939779193636122</v>
      </c>
    </row>
    <row r="9098" spans="2:2" ht="15">
      <c r="B9098" s="181">
        <v>21.178475865751182</v>
      </c>
    </row>
    <row r="9099" spans="2:2" ht="15">
      <c r="B9099" s="181">
        <v>26.899964911474655</v>
      </c>
    </row>
    <row r="9100" spans="2:2" ht="15">
      <c r="B9100" s="181">
        <v>30.550412727368951</v>
      </c>
    </row>
    <row r="9101" spans="2:2" ht="15">
      <c r="B9101" s="181">
        <v>9.8155936284767993</v>
      </c>
    </row>
    <row r="9102" spans="2:2" ht="15">
      <c r="B9102" s="181">
        <v>22.010936006084595</v>
      </c>
    </row>
    <row r="9103" spans="2:2" ht="15">
      <c r="B9103" s="181">
        <v>15.17584287576522</v>
      </c>
    </row>
    <row r="9104" spans="2:2" ht="15">
      <c r="B9104" s="181">
        <v>7.7963867274212104</v>
      </c>
    </row>
    <row r="9105" spans="2:2" ht="15">
      <c r="B9105" s="181">
        <v>16.871040928388425</v>
      </c>
    </row>
    <row r="9106" spans="2:2" ht="15">
      <c r="B9106" s="181">
        <v>8.7480433871743859</v>
      </c>
    </row>
    <row r="9107" spans="2:2" ht="15">
      <c r="B9107" s="181">
        <v>19.980470933872652</v>
      </c>
    </row>
    <row r="9108" spans="2:2" ht="15">
      <c r="B9108" s="181">
        <v>23.717882339610394</v>
      </c>
    </row>
    <row r="9109" spans="2:2" ht="15">
      <c r="B9109" s="181">
        <v>31.323563969706552</v>
      </c>
    </row>
    <row r="9110" spans="2:2" ht="15">
      <c r="B9110" s="181">
        <v>28.650464904579611</v>
      </c>
    </row>
    <row r="9111" spans="2:2" ht="15">
      <c r="B9111" s="181">
        <v>26.684330699658894</v>
      </c>
    </row>
    <row r="9112" spans="2:2" ht="15">
      <c r="B9112" s="181">
        <v>12.857377357179736</v>
      </c>
    </row>
    <row r="9113" spans="2:2" ht="15">
      <c r="B9113" s="181">
        <v>9.6848443547396936</v>
      </c>
    </row>
    <row r="9114" spans="2:2" ht="15">
      <c r="B9114" s="181">
        <v>25.096604277969913</v>
      </c>
    </row>
    <row r="9115" spans="2:2" ht="15">
      <c r="B9115" s="181">
        <v>29.383720325598613</v>
      </c>
    </row>
    <row r="9116" spans="2:2" ht="15">
      <c r="B9116" s="181">
        <v>21.782687444129184</v>
      </c>
    </row>
    <row r="9117" spans="2:2" ht="15">
      <c r="B9117" s="181">
        <v>36.248659184978166</v>
      </c>
    </row>
    <row r="9118" spans="2:2" ht="15">
      <c r="B9118" s="181">
        <v>26.83298447491136</v>
      </c>
    </row>
    <row r="9119" spans="2:2" ht="15">
      <c r="B9119" s="181">
        <v>6.799287939718953</v>
      </c>
    </row>
    <row r="9120" spans="2:2" ht="15">
      <c r="B9120" s="181">
        <v>10.092600623881012</v>
      </c>
    </row>
    <row r="9121" spans="2:2" ht="15">
      <c r="B9121" s="181">
        <v>34.338715240513302</v>
      </c>
    </row>
    <row r="9122" spans="2:2" ht="15">
      <c r="B9122" s="181">
        <v>14.606410717584829</v>
      </c>
    </row>
    <row r="9123" spans="2:2" ht="15">
      <c r="B9123" s="181">
        <v>17.852004321131417</v>
      </c>
    </row>
    <row r="9124" spans="2:2" ht="15">
      <c r="B9124" s="181">
        <v>16.927632466528955</v>
      </c>
    </row>
    <row r="9125" spans="2:2" ht="15">
      <c r="B9125" s="181">
        <v>18.483866577077087</v>
      </c>
    </row>
    <row r="9126" spans="2:2" ht="15">
      <c r="B9126" s="181">
        <v>9.5792309628142007</v>
      </c>
    </row>
    <row r="9127" spans="2:2" ht="15">
      <c r="B9127" s="181">
        <v>33.787150687761603</v>
      </c>
    </row>
    <row r="9128" spans="2:2" ht="15">
      <c r="B9128" s="181">
        <v>8.7207898313898884</v>
      </c>
    </row>
    <row r="9129" spans="2:2" ht="15">
      <c r="B9129" s="181">
        <v>12.749831569280254</v>
      </c>
    </row>
    <row r="9130" spans="2:2" ht="15">
      <c r="B9130" s="181">
        <v>13.136449490029131</v>
      </c>
    </row>
    <row r="9131" spans="2:2" ht="15">
      <c r="B9131" s="181">
        <v>8.1832655120143958</v>
      </c>
    </row>
    <row r="9132" spans="2:2" ht="15">
      <c r="B9132" s="181">
        <v>19.713201536068375</v>
      </c>
    </row>
    <row r="9133" spans="2:2" ht="15">
      <c r="B9133" s="181">
        <v>28.560436453932009</v>
      </c>
    </row>
    <row r="9134" spans="2:2" ht="15">
      <c r="B9134" s="181">
        <v>16.797627159456582</v>
      </c>
    </row>
    <row r="9135" spans="2:2" ht="15">
      <c r="B9135" s="181">
        <v>23.022788053414466</v>
      </c>
    </row>
    <row r="9136" spans="2:2" ht="15">
      <c r="B9136" s="181">
        <v>36.570992942004963</v>
      </c>
    </row>
    <row r="9137" spans="2:2" ht="15">
      <c r="B9137" s="181">
        <v>20.649298811433418</v>
      </c>
    </row>
    <row r="9138" spans="2:2" ht="15">
      <c r="B9138" s="181">
        <v>17.231927268926015</v>
      </c>
    </row>
    <row r="9139" spans="2:2" ht="15">
      <c r="B9139" s="181">
        <v>15.234491528976784</v>
      </c>
    </row>
    <row r="9140" spans="2:2" ht="15">
      <c r="B9140" s="181">
        <v>34.172166627533777</v>
      </c>
    </row>
    <row r="9141" spans="2:2" ht="15">
      <c r="B9141" s="181">
        <v>16.427291152568944</v>
      </c>
    </row>
    <row r="9142" spans="2:2" ht="15">
      <c r="B9142" s="181">
        <v>23.808722778671498</v>
      </c>
    </row>
    <row r="9143" spans="2:2" ht="15">
      <c r="B9143" s="181">
        <v>22.465147499756334</v>
      </c>
    </row>
    <row r="9144" spans="2:2" ht="15">
      <c r="B9144" s="181">
        <v>11.445717582032596</v>
      </c>
    </row>
    <row r="9145" spans="2:2" ht="15">
      <c r="B9145" s="181">
        <v>20.03238162632497</v>
      </c>
    </row>
    <row r="9146" spans="2:2" ht="15">
      <c r="B9146" s="181">
        <v>62.636991563926216</v>
      </c>
    </row>
    <row r="9147" spans="2:2" ht="15">
      <c r="B9147" s="181">
        <v>50.413135119087194</v>
      </c>
    </row>
    <row r="9148" spans="2:2" ht="15">
      <c r="B9148" s="181">
        <v>24.790094666554879</v>
      </c>
    </row>
    <row r="9149" spans="2:2" ht="15">
      <c r="B9149" s="181">
        <v>30.377711927940307</v>
      </c>
    </row>
    <row r="9150" spans="2:2" ht="15">
      <c r="B9150" s="181">
        <v>29.371519976827205</v>
      </c>
    </row>
    <row r="9151" spans="2:2" ht="15">
      <c r="B9151" s="181">
        <v>10.307265865774681</v>
      </c>
    </row>
    <row r="9152" spans="2:2" ht="15">
      <c r="B9152" s="181">
        <v>22.399350248744753</v>
      </c>
    </row>
    <row r="9153" spans="2:2" ht="15">
      <c r="B9153" s="181">
        <v>20.182593444852213</v>
      </c>
    </row>
    <row r="9154" spans="2:2" ht="15">
      <c r="B9154" s="181">
        <v>16.061609958291218</v>
      </c>
    </row>
    <row r="9155" spans="2:2" ht="15">
      <c r="B9155" s="181">
        <v>26.879591166421847</v>
      </c>
    </row>
    <row r="9156" spans="2:2" ht="15">
      <c r="B9156" s="181">
        <v>7.6389288672199456</v>
      </c>
    </row>
    <row r="9157" spans="2:2" ht="15">
      <c r="B9157" s="181">
        <v>13.311081538415536</v>
      </c>
    </row>
    <row r="9158" spans="2:2" ht="15">
      <c r="B9158" s="181">
        <v>30.578983401320013</v>
      </c>
    </row>
    <row r="9159" spans="2:2" ht="15">
      <c r="B9159" s="181">
        <v>6.8354297442490672</v>
      </c>
    </row>
    <row r="9160" spans="2:2" ht="15">
      <c r="B9160" s="181">
        <v>10.379851504008531</v>
      </c>
    </row>
    <row r="9161" spans="2:2" ht="15">
      <c r="B9161" s="181">
        <v>17.997371802449695</v>
      </c>
    </row>
    <row r="9162" spans="2:2" ht="15">
      <c r="B9162" s="181">
        <v>14.20192411051282</v>
      </c>
    </row>
    <row r="9163" spans="2:2" ht="15">
      <c r="B9163" s="181">
        <v>44.77796951318328</v>
      </c>
    </row>
    <row r="9164" spans="2:2" ht="15">
      <c r="B9164" s="181">
        <v>14.74790597792474</v>
      </c>
    </row>
    <row r="9165" spans="2:2" ht="15">
      <c r="B9165" s="181">
        <v>10.267990675322272</v>
      </c>
    </row>
    <row r="9166" spans="2:2" ht="15">
      <c r="B9166" s="181">
        <v>13.336191317144545</v>
      </c>
    </row>
    <row r="9167" spans="2:2" ht="15">
      <c r="B9167" s="181">
        <v>32.669126479949298</v>
      </c>
    </row>
    <row r="9168" spans="2:2" ht="15">
      <c r="B9168" s="181">
        <v>6.8017670686422251</v>
      </c>
    </row>
    <row r="9169" spans="2:2" ht="15">
      <c r="B9169" s="181">
        <v>49.969190173291814</v>
      </c>
    </row>
    <row r="9170" spans="2:2" ht="15">
      <c r="B9170" s="181">
        <v>20.03626085949751</v>
      </c>
    </row>
    <row r="9171" spans="2:2" ht="15">
      <c r="B9171" s="181">
        <v>18.119750401714377</v>
      </c>
    </row>
    <row r="9172" spans="2:2" ht="15">
      <c r="B9172" s="181">
        <v>33.393712168738872</v>
      </c>
    </row>
    <row r="9173" spans="2:2" ht="15">
      <c r="B9173" s="181">
        <v>29.327026029290739</v>
      </c>
    </row>
    <row r="9174" spans="2:2" ht="15">
      <c r="B9174" s="181">
        <v>14.824921314480569</v>
      </c>
    </row>
    <row r="9175" spans="2:2" ht="15">
      <c r="B9175" s="181">
        <v>18.845423985005841</v>
      </c>
    </row>
    <row r="9176" spans="2:2" ht="15">
      <c r="B9176" s="181">
        <v>38.661711701694088</v>
      </c>
    </row>
    <row r="9177" spans="2:2" ht="15">
      <c r="B9177" s="181">
        <v>7.3719293545751894</v>
      </c>
    </row>
    <row r="9178" spans="2:2" ht="15">
      <c r="B9178" s="181">
        <v>13.872188029320887</v>
      </c>
    </row>
    <row r="9179" spans="2:2" ht="15">
      <c r="B9179" s="181">
        <v>7.4132061358511141</v>
      </c>
    </row>
    <row r="9180" spans="2:2" ht="15">
      <c r="B9180" s="181">
        <v>29.529603756817245</v>
      </c>
    </row>
    <row r="9181" spans="2:2" ht="15">
      <c r="B9181" s="181">
        <v>8.4587520008481736</v>
      </c>
    </row>
    <row r="9182" spans="2:2" ht="15">
      <c r="B9182" s="181">
        <v>20.960090322663373</v>
      </c>
    </row>
    <row r="9183" spans="2:2" ht="15">
      <c r="B9183" s="181">
        <v>43.28165097776342</v>
      </c>
    </row>
    <row r="9184" spans="2:2" ht="15">
      <c r="B9184" s="181">
        <v>8.9171457299488264</v>
      </c>
    </row>
    <row r="9185" spans="2:2" ht="15">
      <c r="B9185" s="181">
        <v>3.9624473511683114</v>
      </c>
    </row>
    <row r="9186" spans="2:2" ht="15">
      <c r="B9186" s="181">
        <v>17.957389554333133</v>
      </c>
    </row>
    <row r="9187" spans="2:2" ht="15">
      <c r="B9187" s="181">
        <v>5.9764030258064977</v>
      </c>
    </row>
    <row r="9188" spans="2:2" ht="15">
      <c r="B9188" s="181">
        <v>10.401794069750807</v>
      </c>
    </row>
    <row r="9189" spans="2:2" ht="15">
      <c r="B9189" s="181">
        <v>10.148410382761034</v>
      </c>
    </row>
    <row r="9190" spans="2:2" ht="15">
      <c r="B9190" s="181">
        <v>31.200734062888746</v>
      </c>
    </row>
    <row r="9191" spans="2:2" ht="15">
      <c r="B9191" s="181">
        <v>22.955371385415194</v>
      </c>
    </row>
    <row r="9192" spans="2:2" ht="15">
      <c r="B9192" s="181">
        <v>6.2933551760323745</v>
      </c>
    </row>
    <row r="9193" spans="2:2" ht="15">
      <c r="B9193" s="181">
        <v>22.257157348112859</v>
      </c>
    </row>
    <row r="9194" spans="2:2" ht="15">
      <c r="B9194" s="181">
        <v>10.179373861214213</v>
      </c>
    </row>
    <row r="9195" spans="2:2" ht="15">
      <c r="B9195" s="181">
        <v>22.822432781825658</v>
      </c>
    </row>
    <row r="9196" spans="2:2" ht="15">
      <c r="B9196" s="181">
        <v>14.034315427995029</v>
      </c>
    </row>
    <row r="9197" spans="2:2" ht="15">
      <c r="B9197" s="181">
        <v>14.799400159287829</v>
      </c>
    </row>
    <row r="9198" spans="2:2" ht="15">
      <c r="B9198" s="181">
        <v>26.002825477486397</v>
      </c>
    </row>
    <row r="9199" spans="2:2" ht="15">
      <c r="B9199" s="181">
        <v>18.775894749358571</v>
      </c>
    </row>
    <row r="9200" spans="2:2" ht="15">
      <c r="B9200" s="181">
        <v>8.9465618326342042</v>
      </c>
    </row>
    <row r="9201" spans="2:2" ht="15">
      <c r="B9201" s="181">
        <v>11.803659157325374</v>
      </c>
    </row>
    <row r="9202" spans="2:2" ht="15">
      <c r="B9202" s="181">
        <v>23.036943628316518</v>
      </c>
    </row>
    <row r="9203" spans="2:2" ht="15">
      <c r="B9203" s="181">
        <v>21.399251678146989</v>
      </c>
    </row>
    <row r="9204" spans="2:2" ht="15">
      <c r="B9204" s="181">
        <v>17.565573306545268</v>
      </c>
    </row>
    <row r="9205" spans="2:2" ht="15">
      <c r="B9205" s="181">
        <v>8.4608817452215437</v>
      </c>
    </row>
    <row r="9206" spans="2:2" ht="15">
      <c r="B9206" s="181">
        <v>8.6596496702887613</v>
      </c>
    </row>
    <row r="9207" spans="2:2" ht="15">
      <c r="B9207" s="181">
        <v>38.994971300949992</v>
      </c>
    </row>
    <row r="9208" spans="2:2" ht="15">
      <c r="B9208" s="181">
        <v>19.996654219429679</v>
      </c>
    </row>
    <row r="9209" spans="2:2" ht="15">
      <c r="B9209" s="181">
        <v>13.257124430363254</v>
      </c>
    </row>
    <row r="9210" spans="2:2" ht="15">
      <c r="B9210" s="181">
        <v>12.328302938243654</v>
      </c>
    </row>
    <row r="9211" spans="2:2" ht="15">
      <c r="B9211" s="181">
        <v>39.206870170762109</v>
      </c>
    </row>
    <row r="9212" spans="2:2" ht="15">
      <c r="B9212" s="181">
        <v>22.417684497835769</v>
      </c>
    </row>
    <row r="9213" spans="2:2" ht="15">
      <c r="B9213" s="181">
        <v>11.798967781081156</v>
      </c>
    </row>
    <row r="9214" spans="2:2" ht="15">
      <c r="B9214" s="181">
        <v>16.120745768388538</v>
      </c>
    </row>
    <row r="9215" spans="2:2" ht="15">
      <c r="B9215" s="181">
        <v>19.413545688833029</v>
      </c>
    </row>
    <row r="9216" spans="2:2" ht="15">
      <c r="B9216" s="181">
        <v>12.385704855435554</v>
      </c>
    </row>
    <row r="9217" spans="2:2" ht="15">
      <c r="B9217" s="181">
        <v>10.80539043170633</v>
      </c>
    </row>
    <row r="9218" spans="2:2" ht="15">
      <c r="B9218" s="181">
        <v>19.623215712249969</v>
      </c>
    </row>
    <row r="9219" spans="2:2" ht="15">
      <c r="B9219" s="181">
        <v>14.411943452166772</v>
      </c>
    </row>
    <row r="9220" spans="2:2" ht="15">
      <c r="B9220" s="181">
        <v>20.287372679103701</v>
      </c>
    </row>
    <row r="9221" spans="2:2" ht="15">
      <c r="B9221" s="181">
        <v>39.078905478489553</v>
      </c>
    </row>
    <row r="9222" spans="2:2" ht="15">
      <c r="B9222" s="181">
        <v>39.717823288652596</v>
      </c>
    </row>
    <row r="9223" spans="2:2" ht="15">
      <c r="B9223" s="181">
        <v>11.076407799066137</v>
      </c>
    </row>
    <row r="9224" spans="2:2" ht="15">
      <c r="B9224" s="181">
        <v>23.687904825863615</v>
      </c>
    </row>
    <row r="9225" spans="2:2" ht="15">
      <c r="B9225" s="181">
        <v>12.213681420334339</v>
      </c>
    </row>
    <row r="9226" spans="2:2" ht="15">
      <c r="B9226" s="181">
        <v>22.438698293757547</v>
      </c>
    </row>
    <row r="9227" spans="2:2" ht="15">
      <c r="B9227" s="181">
        <v>10.399327701685618</v>
      </c>
    </row>
    <row r="9228" spans="2:2" ht="15">
      <c r="B9228" s="181">
        <v>19.076907821296782</v>
      </c>
    </row>
    <row r="9229" spans="2:2" ht="15">
      <c r="B9229" s="181">
        <v>8.5582363118450608</v>
      </c>
    </row>
    <row r="9230" spans="2:2" ht="15">
      <c r="B9230" s="181">
        <v>15.630168642424128</v>
      </c>
    </row>
    <row r="9231" spans="2:2" ht="15">
      <c r="B9231" s="181">
        <v>24.119681132227065</v>
      </c>
    </row>
    <row r="9232" spans="2:2" ht="15">
      <c r="B9232" s="181">
        <v>12.652679675346425</v>
      </c>
    </row>
    <row r="9233" spans="2:2" ht="15">
      <c r="B9233" s="181">
        <v>12.344289012865746</v>
      </c>
    </row>
    <row r="9234" spans="2:2" ht="15">
      <c r="B9234" s="181">
        <v>18.386477137279432</v>
      </c>
    </row>
    <row r="9235" spans="2:2" ht="15">
      <c r="B9235" s="181">
        <v>13.522043402238744</v>
      </c>
    </row>
    <row r="9236" spans="2:2" ht="15">
      <c r="B9236" s="181">
        <v>55.179294597522109</v>
      </c>
    </row>
    <row r="9237" spans="2:2" ht="15">
      <c r="B9237" s="181">
        <v>8.2674746649217905</v>
      </c>
    </row>
    <row r="9238" spans="2:2" ht="15">
      <c r="B9238" s="181">
        <v>22.224768633502585</v>
      </c>
    </row>
    <row r="9239" spans="2:2" ht="15">
      <c r="B9239" s="181">
        <v>9.7736194632470248</v>
      </c>
    </row>
    <row r="9240" spans="2:2" ht="15">
      <c r="B9240" s="181">
        <v>6.6676380035179577</v>
      </c>
    </row>
    <row r="9241" spans="2:2" ht="15">
      <c r="B9241" s="181">
        <v>15.517789673840937</v>
      </c>
    </row>
    <row r="9242" spans="2:2" ht="15">
      <c r="B9242" s="181">
        <v>11.607913743156814</v>
      </c>
    </row>
    <row r="9243" spans="2:2" ht="15">
      <c r="B9243" s="181">
        <v>14.20533568771684</v>
      </c>
    </row>
    <row r="9244" spans="2:2" ht="15">
      <c r="B9244" s="181">
        <v>15.008312516790765</v>
      </c>
    </row>
    <row r="9245" spans="2:2" ht="15">
      <c r="B9245" s="181">
        <v>5.342493283867161</v>
      </c>
    </row>
    <row r="9246" spans="2:2" ht="15">
      <c r="B9246" s="181">
        <v>19.888611118179202</v>
      </c>
    </row>
    <row r="9247" spans="2:2" ht="15">
      <c r="B9247" s="181">
        <v>19.613140145430304</v>
      </c>
    </row>
    <row r="9248" spans="2:2" ht="15">
      <c r="B9248" s="181">
        <v>6.6438892521693571</v>
      </c>
    </row>
    <row r="9249" spans="2:2" ht="15">
      <c r="B9249" s="181">
        <v>19.102312259559675</v>
      </c>
    </row>
    <row r="9250" spans="2:2" ht="15">
      <c r="B9250" s="181">
        <v>26.075943417446293</v>
      </c>
    </row>
    <row r="9251" spans="2:2" ht="15">
      <c r="B9251" s="181">
        <v>28.689400584446858</v>
      </c>
    </row>
    <row r="9252" spans="2:2" ht="15">
      <c r="B9252" s="181">
        <v>15.642057289040377</v>
      </c>
    </row>
    <row r="9253" spans="2:2" ht="15">
      <c r="B9253" s="181">
        <v>22.869269955986855</v>
      </c>
    </row>
    <row r="9254" spans="2:2" ht="15">
      <c r="B9254" s="181">
        <v>49.417334415664811</v>
      </c>
    </row>
    <row r="9255" spans="2:2" ht="15">
      <c r="B9255" s="181">
        <v>12.683237399936555</v>
      </c>
    </row>
    <row r="9256" spans="2:2" ht="15">
      <c r="B9256" s="181">
        <v>8.5814894243377235</v>
      </c>
    </row>
    <row r="9257" spans="2:2" ht="15">
      <c r="B9257" s="181">
        <v>8.3499241393719235</v>
      </c>
    </row>
    <row r="9258" spans="2:2" ht="15">
      <c r="B9258" s="181">
        <v>17.36727628450749</v>
      </c>
    </row>
    <row r="9259" spans="2:2" ht="15">
      <c r="B9259" s="181">
        <v>36.247010091217234</v>
      </c>
    </row>
    <row r="9260" spans="2:2" ht="15">
      <c r="B9260" s="181">
        <v>30.712221463265649</v>
      </c>
    </row>
    <row r="9261" spans="2:2" ht="15">
      <c r="B9261" s="181">
        <v>38.679602241212315</v>
      </c>
    </row>
    <row r="9262" spans="2:2" ht="15">
      <c r="B9262" s="181">
        <v>14.202482613599102</v>
      </c>
    </row>
    <row r="9263" spans="2:2" ht="15">
      <c r="B9263" s="181">
        <v>18.403116839834656</v>
      </c>
    </row>
    <row r="9264" spans="2:2" ht="15">
      <c r="B9264" s="181">
        <v>31.66827540181092</v>
      </c>
    </row>
    <row r="9265" spans="2:2" ht="15">
      <c r="B9265" s="181">
        <v>21.81590901453616</v>
      </c>
    </row>
    <row r="9266" spans="2:2" ht="15">
      <c r="B9266" s="181">
        <v>21.12892385321797</v>
      </c>
    </row>
    <row r="9267" spans="2:2" ht="15">
      <c r="B9267" s="181">
        <v>21.84041916353015</v>
      </c>
    </row>
    <row r="9268" spans="2:2" ht="15">
      <c r="B9268" s="181">
        <v>20.911369257391446</v>
      </c>
    </row>
    <row r="9269" spans="2:2" ht="15">
      <c r="B9269" s="181">
        <v>16.801411111575753</v>
      </c>
    </row>
    <row r="9270" spans="2:2" ht="15">
      <c r="B9270" s="181">
        <v>24.993018993238806</v>
      </c>
    </row>
    <row r="9271" spans="2:2" ht="15">
      <c r="B9271" s="181">
        <v>23.445961561791108</v>
      </c>
    </row>
    <row r="9272" spans="2:2" ht="15">
      <c r="B9272" s="181">
        <v>11.823212321200375</v>
      </c>
    </row>
    <row r="9273" spans="2:2" ht="15">
      <c r="B9273" s="181">
        <v>15.326144995635607</v>
      </c>
    </row>
    <row r="9274" spans="2:2" ht="15">
      <c r="B9274" s="181">
        <v>25.624341528828491</v>
      </c>
    </row>
    <row r="9275" spans="2:2" ht="15">
      <c r="B9275" s="181">
        <v>28.325874891915724</v>
      </c>
    </row>
    <row r="9276" spans="2:2" ht="15">
      <c r="B9276" s="181">
        <v>32.739707190433691</v>
      </c>
    </row>
    <row r="9277" spans="2:2" ht="15">
      <c r="B9277" s="181">
        <v>14.533517220781505</v>
      </c>
    </row>
    <row r="9278" spans="2:2" ht="15">
      <c r="B9278" s="181">
        <v>21.797125462518231</v>
      </c>
    </row>
    <row r="9279" spans="2:2" ht="15">
      <c r="B9279" s="181">
        <v>59.404862596609753</v>
      </c>
    </row>
    <row r="9280" spans="2:2" ht="15">
      <c r="B9280" s="181">
        <v>51.779899526491285</v>
      </c>
    </row>
    <row r="9281" spans="2:2" ht="15">
      <c r="B9281" s="181">
        <v>19.629371028608265</v>
      </c>
    </row>
    <row r="9282" spans="2:2" ht="15">
      <c r="B9282" s="181">
        <v>15.779525859218641</v>
      </c>
    </row>
    <row r="9283" spans="2:2" ht="15">
      <c r="B9283" s="181">
        <v>19.836113179550445</v>
      </c>
    </row>
    <row r="9284" spans="2:2" ht="15">
      <c r="B9284" s="181">
        <v>14.197371938679701</v>
      </c>
    </row>
    <row r="9285" spans="2:2" ht="15">
      <c r="B9285" s="181">
        <v>5.1824037669464893</v>
      </c>
    </row>
    <row r="9286" spans="2:2" ht="15">
      <c r="B9286" s="181">
        <v>5.1462365745156493</v>
      </c>
    </row>
    <row r="9287" spans="2:2" ht="15">
      <c r="B9287" s="181">
        <v>14.861291365933493</v>
      </c>
    </row>
    <row r="9288" spans="2:2" ht="15">
      <c r="B9288" s="181">
        <v>17.619852895920694</v>
      </c>
    </row>
    <row r="9289" spans="2:2" ht="15">
      <c r="B9289" s="181">
        <v>18.929816339143255</v>
      </c>
    </row>
    <row r="9290" spans="2:2" ht="15">
      <c r="B9290" s="181">
        <v>12.943918499483779</v>
      </c>
    </row>
    <row r="9291" spans="2:2" ht="15">
      <c r="B9291" s="181">
        <v>16.98099752064897</v>
      </c>
    </row>
    <row r="9292" spans="2:2" ht="15">
      <c r="B9292" s="181">
        <v>5.5090152701085016</v>
      </c>
    </row>
    <row r="9293" spans="2:2" ht="15">
      <c r="B9293" s="181">
        <v>8.5231965995490988</v>
      </c>
    </row>
    <row r="9294" spans="2:2" ht="15">
      <c r="B9294" s="181">
        <v>7.1434131847368318</v>
      </c>
    </row>
    <row r="9295" spans="2:2" ht="15">
      <c r="B9295" s="181">
        <v>9.2980871700805867</v>
      </c>
    </row>
    <row r="9296" spans="2:2" ht="15">
      <c r="B9296" s="181">
        <v>15.027179430622711</v>
      </c>
    </row>
    <row r="9297" spans="2:2" ht="15">
      <c r="B9297" s="181">
        <v>21.638310072342055</v>
      </c>
    </row>
    <row r="9298" spans="2:2" ht="15">
      <c r="B9298" s="181">
        <v>13.577130748872563</v>
      </c>
    </row>
    <row r="9299" spans="2:2" ht="15">
      <c r="B9299" s="181">
        <v>16.866429824148959</v>
      </c>
    </row>
    <row r="9300" spans="2:2" ht="15">
      <c r="B9300" s="181">
        <v>16.418178821228803</v>
      </c>
    </row>
    <row r="9301" spans="2:2" ht="15">
      <c r="B9301" s="181">
        <v>9.8744914373830195</v>
      </c>
    </row>
    <row r="9302" spans="2:2" ht="15">
      <c r="B9302" s="181">
        <v>34.989142640775341</v>
      </c>
    </row>
    <row r="9303" spans="2:2" ht="15">
      <c r="B9303" s="181">
        <v>17.736588169393311</v>
      </c>
    </row>
    <row r="9304" spans="2:2" ht="15">
      <c r="B9304" s="181">
        <v>18.777700155067684</v>
      </c>
    </row>
    <row r="9305" spans="2:2" ht="15">
      <c r="B9305" s="181">
        <v>24.361224012712913</v>
      </c>
    </row>
    <row r="9306" spans="2:2" ht="15">
      <c r="B9306" s="181">
        <v>12.733514887694392</v>
      </c>
    </row>
    <row r="9307" spans="2:2" ht="15">
      <c r="B9307" s="181">
        <v>17.23038380731969</v>
      </c>
    </row>
    <row r="9308" spans="2:2" ht="15">
      <c r="B9308" s="181">
        <v>24.427486722751222</v>
      </c>
    </row>
    <row r="9309" spans="2:2" ht="15">
      <c r="B9309" s="181">
        <v>20.287318652900893</v>
      </c>
    </row>
    <row r="9310" spans="2:2" ht="15">
      <c r="B9310" s="181">
        <v>10.422988763772581</v>
      </c>
    </row>
    <row r="9311" spans="2:2" ht="15">
      <c r="B9311" s="181">
        <v>18.585298326418574</v>
      </c>
    </row>
    <row r="9312" spans="2:2" ht="15">
      <c r="B9312" s="181">
        <v>12.573613227727126</v>
      </c>
    </row>
    <row r="9313" spans="2:2" ht="15">
      <c r="B9313" s="181">
        <v>28.198414409778287</v>
      </c>
    </row>
    <row r="9314" spans="2:2" ht="15">
      <c r="B9314" s="181">
        <v>46.879112558684128</v>
      </c>
    </row>
    <row r="9315" spans="2:2" ht="15">
      <c r="B9315" s="181">
        <v>12.777680181365943</v>
      </c>
    </row>
    <row r="9316" spans="2:2" ht="15">
      <c r="B9316" s="181">
        <v>40.4239949354251</v>
      </c>
    </row>
    <row r="9317" spans="2:2" ht="15">
      <c r="B9317" s="181">
        <v>7.323327683468067</v>
      </c>
    </row>
    <row r="9318" spans="2:2" ht="15">
      <c r="B9318" s="181">
        <v>11.012229967793461</v>
      </c>
    </row>
    <row r="9319" spans="2:2" ht="15">
      <c r="B9319" s="181">
        <v>15.029715946752045</v>
      </c>
    </row>
    <row r="9320" spans="2:2" ht="15">
      <c r="B9320" s="181">
        <v>29.350542647564993</v>
      </c>
    </row>
    <row r="9321" spans="2:2" ht="15">
      <c r="B9321" s="181">
        <v>7.8081757027638368</v>
      </c>
    </row>
    <row r="9322" spans="2:2" ht="15">
      <c r="B9322" s="181">
        <v>12.29668103417036</v>
      </c>
    </row>
    <row r="9323" spans="2:2" ht="15">
      <c r="B9323" s="181">
        <v>18.234467328795191</v>
      </c>
    </row>
    <row r="9324" spans="2:2" ht="15">
      <c r="B9324" s="181">
        <v>18.637765023316277</v>
      </c>
    </row>
    <row r="9325" spans="2:2" ht="15">
      <c r="B9325" s="181">
        <v>17.436419473330112</v>
      </c>
    </row>
    <row r="9326" spans="2:2" ht="15">
      <c r="B9326" s="181">
        <v>6.9732136273381595</v>
      </c>
    </row>
    <row r="9327" spans="2:2" ht="15">
      <c r="B9327" s="181">
        <v>12.364261054939588</v>
      </c>
    </row>
    <row r="9328" spans="2:2" ht="15">
      <c r="B9328" s="181">
        <v>40.772544774237758</v>
      </c>
    </row>
    <row r="9329" spans="2:2" ht="15">
      <c r="B9329" s="181">
        <v>9.2416052218662426</v>
      </c>
    </row>
    <row r="9330" spans="2:2" ht="15">
      <c r="B9330" s="181">
        <v>8.5322399853760018</v>
      </c>
    </row>
    <row r="9331" spans="2:2" ht="15">
      <c r="B9331" s="181">
        <v>23.98696345087038</v>
      </c>
    </row>
    <row r="9332" spans="2:2" ht="15">
      <c r="B9332" s="181">
        <v>26.445873238778866</v>
      </c>
    </row>
    <row r="9333" spans="2:2" ht="15">
      <c r="B9333" s="181">
        <v>4.2399879931456432</v>
      </c>
    </row>
    <row r="9334" spans="2:2" ht="15">
      <c r="B9334" s="181">
        <v>16.380399278831373</v>
      </c>
    </row>
    <row r="9335" spans="2:2" ht="15">
      <c r="B9335" s="181">
        <v>18.2639535159446</v>
      </c>
    </row>
    <row r="9336" spans="2:2" ht="15">
      <c r="B9336" s="181">
        <v>32.682488898962099</v>
      </c>
    </row>
    <row r="9337" spans="2:2" ht="15">
      <c r="B9337" s="181">
        <v>19.725099873427141</v>
      </c>
    </row>
    <row r="9338" spans="2:2" ht="15">
      <c r="B9338" s="181">
        <v>28.563488970381918</v>
      </c>
    </row>
    <row r="9339" spans="2:2" ht="15">
      <c r="B9339" s="181">
        <v>17.332113227739448</v>
      </c>
    </row>
    <row r="9340" spans="2:2" ht="15">
      <c r="B9340" s="181">
        <v>18.826409678847657</v>
      </c>
    </row>
    <row r="9341" spans="2:2" ht="15">
      <c r="B9341" s="181">
        <v>14.35720722556594</v>
      </c>
    </row>
    <row r="9342" spans="2:2" ht="15">
      <c r="B9342" s="181">
        <v>8.3939154467326542</v>
      </c>
    </row>
    <row r="9343" spans="2:2" ht="15">
      <c r="B9343" s="181">
        <v>13.657746900896404</v>
      </c>
    </row>
    <row r="9344" spans="2:2" ht="15">
      <c r="B9344" s="181">
        <v>12.869492422648829</v>
      </c>
    </row>
    <row r="9345" spans="2:2" ht="15">
      <c r="B9345" s="181">
        <v>35.393277369300066</v>
      </c>
    </row>
    <row r="9346" spans="2:2" ht="15">
      <c r="B9346" s="181">
        <v>13.043376584655439</v>
      </c>
    </row>
    <row r="9347" spans="2:2" ht="15">
      <c r="B9347" s="181">
        <v>13.179674747096037</v>
      </c>
    </row>
    <row r="9348" spans="2:2" ht="15">
      <c r="B9348" s="181">
        <v>43.46964886971503</v>
      </c>
    </row>
    <row r="9349" spans="2:2" ht="15">
      <c r="B9349" s="181">
        <v>25.253389461440392</v>
      </c>
    </row>
    <row r="9350" spans="2:2" ht="15">
      <c r="B9350" s="181">
        <v>5.6803441124101051</v>
      </c>
    </row>
    <row r="9351" spans="2:2" ht="15">
      <c r="B9351" s="181">
        <v>6.788305264337013</v>
      </c>
    </row>
    <row r="9352" spans="2:2" ht="15">
      <c r="B9352" s="181">
        <v>11.3051367647617</v>
      </c>
    </row>
    <row r="9353" spans="2:2" ht="15">
      <c r="B9353" s="181">
        <v>24.655395670300148</v>
      </c>
    </row>
    <row r="9354" spans="2:2" ht="15">
      <c r="B9354" s="181">
        <v>10.53575549666064</v>
      </c>
    </row>
    <row r="9355" spans="2:2" ht="15">
      <c r="B9355" s="181">
        <v>30.589947443066755</v>
      </c>
    </row>
    <row r="9356" spans="2:2" ht="15">
      <c r="B9356" s="181">
        <v>8.9751335912398122</v>
      </c>
    </row>
    <row r="9357" spans="2:2" ht="15">
      <c r="B9357" s="181">
        <v>21.839415006523325</v>
      </c>
    </row>
    <row r="9358" spans="2:2" ht="15">
      <c r="B9358" s="181">
        <v>23.716618218115322</v>
      </c>
    </row>
    <row r="9359" spans="2:2" ht="15">
      <c r="B9359" s="181">
        <v>9.2594796559535517</v>
      </c>
    </row>
    <row r="9360" spans="2:2" ht="15">
      <c r="B9360" s="181">
        <v>52.835251419950438</v>
      </c>
    </row>
    <row r="9361" spans="2:2" ht="15">
      <c r="B9361" s="181">
        <v>15.668399124303717</v>
      </c>
    </row>
    <row r="9362" spans="2:2" ht="15">
      <c r="B9362" s="181">
        <v>23.582885358591312</v>
      </c>
    </row>
    <row r="9363" spans="2:2" ht="15">
      <c r="B9363" s="181">
        <v>11.21828125248663</v>
      </c>
    </row>
    <row r="9364" spans="2:2" ht="15">
      <c r="B9364" s="181">
        <v>13.216868228251467</v>
      </c>
    </row>
    <row r="9365" spans="2:2" ht="15">
      <c r="B9365" s="181">
        <v>14.725898814814039</v>
      </c>
    </row>
    <row r="9366" spans="2:2" ht="15">
      <c r="B9366" s="181">
        <v>20.890595757748873</v>
      </c>
    </row>
    <row r="9367" spans="2:2" ht="15">
      <c r="B9367" s="181">
        <v>20.413742376404176</v>
      </c>
    </row>
    <row r="9368" spans="2:2" ht="15">
      <c r="B9368" s="181">
        <v>12.063731016640933</v>
      </c>
    </row>
    <row r="9369" spans="2:2" ht="15">
      <c r="B9369" s="181">
        <v>25.843108309883394</v>
      </c>
    </row>
    <row r="9370" spans="2:2" ht="15">
      <c r="B9370" s="181">
        <v>13.00777079682898</v>
      </c>
    </row>
    <row r="9371" spans="2:2" ht="15">
      <c r="B9371" s="181">
        <v>45.600018858229198</v>
      </c>
    </row>
    <row r="9372" spans="2:2" ht="15">
      <c r="B9372" s="181">
        <v>17.6370789099905</v>
      </c>
    </row>
    <row r="9373" spans="2:2" ht="15">
      <c r="B9373" s="181">
        <v>24.239303987274941</v>
      </c>
    </row>
    <row r="9374" spans="2:2" ht="15">
      <c r="B9374" s="181">
        <v>24.333533902922202</v>
      </c>
    </row>
    <row r="9375" spans="2:2" ht="15">
      <c r="B9375" s="181">
        <v>28.402685044837746</v>
      </c>
    </row>
    <row r="9376" spans="2:2" ht="15">
      <c r="B9376" s="181">
        <v>30.694094042100115</v>
      </c>
    </row>
    <row r="9377" spans="2:2" ht="15">
      <c r="B9377" s="181">
        <v>8.6556065102407285</v>
      </c>
    </row>
    <row r="9378" spans="2:2" ht="15">
      <c r="B9378" s="181">
        <v>18.754819454384812</v>
      </c>
    </row>
    <row r="9379" spans="2:2" ht="15">
      <c r="B9379" s="181">
        <v>48.322230634959745</v>
      </c>
    </row>
    <row r="9380" spans="2:2" ht="15">
      <c r="B9380" s="181">
        <v>16.558778385797805</v>
      </c>
    </row>
    <row r="9381" spans="2:2" ht="15">
      <c r="B9381" s="181">
        <v>32.627878699865292</v>
      </c>
    </row>
    <row r="9382" spans="2:2" ht="15">
      <c r="B9382" s="181">
        <v>12.710481362020147</v>
      </c>
    </row>
    <row r="9383" spans="2:2" ht="15">
      <c r="B9383" s="181">
        <v>16.250440442058387</v>
      </c>
    </row>
    <row r="9384" spans="2:2" ht="15">
      <c r="B9384" s="181">
        <v>26.696945518253688</v>
      </c>
    </row>
    <row r="9385" spans="2:2" ht="15">
      <c r="B9385" s="181">
        <v>18.878047034733129</v>
      </c>
    </row>
    <row r="9386" spans="2:2" ht="15">
      <c r="B9386" s="181">
        <v>41.962726521606619</v>
      </c>
    </row>
    <row r="9387" spans="2:2" ht="15">
      <c r="B9387" s="181">
        <v>16.317091815443579</v>
      </c>
    </row>
    <row r="9388" spans="2:2" ht="15">
      <c r="B9388" s="181">
        <v>5.2053030740269817</v>
      </c>
    </row>
    <row r="9389" spans="2:2" ht="15">
      <c r="B9389" s="181">
        <v>13.979008826947062</v>
      </c>
    </row>
    <row r="9390" spans="2:2" ht="15">
      <c r="B9390" s="181">
        <v>34.259738775066076</v>
      </c>
    </row>
    <row r="9391" spans="2:2" ht="15">
      <c r="B9391" s="181">
        <v>16.632638735710231</v>
      </c>
    </row>
    <row r="9392" spans="2:2" ht="15">
      <c r="B9392" s="181">
        <v>31.205855486888655</v>
      </c>
    </row>
    <row r="9393" spans="2:2" ht="15">
      <c r="B9393" s="181">
        <v>38.917242988128379</v>
      </c>
    </row>
    <row r="9394" spans="2:2" ht="15">
      <c r="B9394" s="181">
        <v>18.756868581252593</v>
      </c>
    </row>
    <row r="9395" spans="2:2" ht="15">
      <c r="B9395" s="181">
        <v>47.725348611827457</v>
      </c>
    </row>
    <row r="9396" spans="2:2" ht="15">
      <c r="B9396" s="181">
        <v>12.252830028541704</v>
      </c>
    </row>
    <row r="9397" spans="2:2" ht="15">
      <c r="B9397" s="181">
        <v>34.213601109630311</v>
      </c>
    </row>
    <row r="9398" spans="2:2" ht="15">
      <c r="B9398" s="181">
        <v>40.76170263327451</v>
      </c>
    </row>
    <row r="9399" spans="2:2" ht="15">
      <c r="B9399" s="181">
        <v>4.9390534705462912</v>
      </c>
    </row>
    <row r="9400" spans="2:2" ht="15">
      <c r="B9400" s="181">
        <v>9.9049267816292144</v>
      </c>
    </row>
    <row r="9401" spans="2:2" ht="15">
      <c r="B9401" s="181">
        <v>42.083337455515014</v>
      </c>
    </row>
    <row r="9402" spans="2:2" ht="15">
      <c r="B9402" s="181">
        <v>17.436889546975152</v>
      </c>
    </row>
    <row r="9403" spans="2:2" ht="15">
      <c r="B9403" s="181">
        <v>29.837125192393565</v>
      </c>
    </row>
    <row r="9404" spans="2:2" ht="15">
      <c r="B9404" s="181">
        <v>13.131984281528965</v>
      </c>
    </row>
    <row r="9405" spans="2:2" ht="15">
      <c r="B9405" s="181">
        <v>22.214281475754461</v>
      </c>
    </row>
    <row r="9406" spans="2:2" ht="15">
      <c r="B9406" s="181">
        <v>49.734726330062806</v>
      </c>
    </row>
    <row r="9407" spans="2:2" ht="15">
      <c r="B9407" s="181">
        <v>12.881398665810483</v>
      </c>
    </row>
    <row r="9408" spans="2:2" ht="15">
      <c r="B9408" s="181">
        <v>9.3148224555027141</v>
      </c>
    </row>
    <row r="9409" spans="2:2" ht="15">
      <c r="B9409" s="181">
        <v>13.418964812392124</v>
      </c>
    </row>
    <row r="9410" spans="2:2" ht="15">
      <c r="B9410" s="181">
        <v>22.524361931797866</v>
      </c>
    </row>
    <row r="9411" spans="2:2" ht="15">
      <c r="B9411" s="181">
        <v>6.2030592938897735</v>
      </c>
    </row>
    <row r="9412" spans="2:2" ht="15">
      <c r="B9412" s="181">
        <v>42.285894693347721</v>
      </c>
    </row>
    <row r="9413" spans="2:2" ht="15">
      <c r="B9413" s="181">
        <v>13.393342151636501</v>
      </c>
    </row>
    <row r="9414" spans="2:2" ht="15">
      <c r="B9414" s="181">
        <v>23.992257563961068</v>
      </c>
    </row>
    <row r="9415" spans="2:2" ht="15">
      <c r="B9415" s="181">
        <v>4.517313105317319</v>
      </c>
    </row>
    <row r="9416" spans="2:2" ht="15">
      <c r="B9416" s="181">
        <v>10.059585987763132</v>
      </c>
    </row>
    <row r="9417" spans="2:2" ht="15">
      <c r="B9417" s="181">
        <v>17.263171314966371</v>
      </c>
    </row>
    <row r="9418" spans="2:2" ht="15">
      <c r="B9418" s="181">
        <v>15.222813053207165</v>
      </c>
    </row>
    <row r="9419" spans="2:2" ht="15">
      <c r="B9419" s="181">
        <v>9.9191145760660913</v>
      </c>
    </row>
    <row r="9420" spans="2:2" ht="15">
      <c r="B9420" s="181">
        <v>24.202208579855416</v>
      </c>
    </row>
    <row r="9421" spans="2:2" ht="15">
      <c r="B9421" s="181">
        <v>12.856542381659162</v>
      </c>
    </row>
    <row r="9422" spans="2:2" ht="15">
      <c r="B9422" s="181">
        <v>10.616933942985316</v>
      </c>
    </row>
    <row r="9423" spans="2:2" ht="15">
      <c r="B9423" s="181">
        <v>29.988849367750348</v>
      </c>
    </row>
    <row r="9424" spans="2:2" ht="15">
      <c r="B9424" s="181">
        <v>20.741988455362641</v>
      </c>
    </row>
    <row r="9425" spans="2:2" ht="15">
      <c r="B9425" s="181">
        <v>9.1088360135961199</v>
      </c>
    </row>
    <row r="9426" spans="2:2" ht="15">
      <c r="B9426" s="181">
        <v>28.307399106871372</v>
      </c>
    </row>
    <row r="9427" spans="2:2" ht="15">
      <c r="B9427" s="181">
        <v>12.196131263733706</v>
      </c>
    </row>
    <row r="9428" spans="2:2" ht="15">
      <c r="B9428" s="181">
        <v>8.8976515417727668</v>
      </c>
    </row>
    <row r="9429" spans="2:2" ht="15">
      <c r="B9429" s="181">
        <v>26.634756682285108</v>
      </c>
    </row>
    <row r="9430" spans="2:2" ht="15">
      <c r="B9430" s="181">
        <v>14.213536319058303</v>
      </c>
    </row>
    <row r="9431" spans="2:2" ht="15">
      <c r="B9431" s="181">
        <v>13.048524938868148</v>
      </c>
    </row>
    <row r="9432" spans="2:2" ht="15">
      <c r="B9432" s="181">
        <v>17.874833595813733</v>
      </c>
    </row>
    <row r="9433" spans="2:2" ht="15">
      <c r="B9433" s="181">
        <v>15.410425900043807</v>
      </c>
    </row>
    <row r="9434" spans="2:2" ht="15">
      <c r="B9434" s="181">
        <v>15.963117017406052</v>
      </c>
    </row>
    <row r="9435" spans="2:2" ht="15">
      <c r="B9435" s="181">
        <v>28.728528146793696</v>
      </c>
    </row>
    <row r="9436" spans="2:2" ht="15">
      <c r="B9436" s="181">
        <v>15.45911478092895</v>
      </c>
    </row>
    <row r="9437" spans="2:2" ht="15">
      <c r="B9437" s="181">
        <v>11.360456658215092</v>
      </c>
    </row>
    <row r="9438" spans="2:2" ht="15">
      <c r="B9438" s="181">
        <v>9.6922591353817538</v>
      </c>
    </row>
    <row r="9439" spans="2:2" ht="15">
      <c r="B9439" s="181">
        <v>9.9720699237710466</v>
      </c>
    </row>
    <row r="9440" spans="2:2" ht="15">
      <c r="B9440" s="181">
        <v>29.045156608414811</v>
      </c>
    </row>
    <row r="9441" spans="2:2" ht="15">
      <c r="B9441" s="181">
        <v>17.492375804502185</v>
      </c>
    </row>
    <row r="9442" spans="2:2" ht="15">
      <c r="B9442" s="181">
        <v>27.497032671513583</v>
      </c>
    </row>
    <row r="9443" spans="2:2" ht="15">
      <c r="B9443" s="181">
        <v>19.566706642777461</v>
      </c>
    </row>
    <row r="9444" spans="2:2" ht="15">
      <c r="B9444" s="181">
        <v>15.748082282337498</v>
      </c>
    </row>
    <row r="9445" spans="2:2" ht="15">
      <c r="B9445" s="181">
        <v>9.0517213751378698</v>
      </c>
    </row>
    <row r="9446" spans="2:2" ht="15">
      <c r="B9446" s="181">
        <v>12.265946840295104</v>
      </c>
    </row>
    <row r="9447" spans="2:2" ht="15">
      <c r="B9447" s="181">
        <v>19.667761093417429</v>
      </c>
    </row>
    <row r="9448" spans="2:2" ht="15">
      <c r="B9448" s="181">
        <v>28.173664859597427</v>
      </c>
    </row>
    <row r="9449" spans="2:2" ht="15">
      <c r="B9449" s="181">
        <v>13.482383048225962</v>
      </c>
    </row>
    <row r="9450" spans="2:2" ht="15">
      <c r="B9450" s="181">
        <v>22.286436226056892</v>
      </c>
    </row>
    <row r="9451" spans="2:2" ht="15">
      <c r="B9451" s="181">
        <v>58.464502725002617</v>
      </c>
    </row>
    <row r="9452" spans="2:2" ht="15">
      <c r="B9452" s="181">
        <v>13.437670799018235</v>
      </c>
    </row>
    <row r="9453" spans="2:2" ht="15">
      <c r="B9453" s="181">
        <v>17.231463344387404</v>
      </c>
    </row>
    <row r="9454" spans="2:2" ht="15">
      <c r="B9454" s="181">
        <v>26.921475441390868</v>
      </c>
    </row>
    <row r="9455" spans="2:2" ht="15">
      <c r="B9455" s="181">
        <v>20.946862953723162</v>
      </c>
    </row>
    <row r="9456" spans="2:2" ht="15">
      <c r="B9456" s="181">
        <v>9.7703222883705934</v>
      </c>
    </row>
    <row r="9457" spans="2:2" ht="15">
      <c r="B9457" s="181">
        <v>9.1433167760754177</v>
      </c>
    </row>
    <row r="9458" spans="2:2" ht="15">
      <c r="B9458" s="181">
        <v>18.791828487121652</v>
      </c>
    </row>
    <row r="9459" spans="2:2" ht="15">
      <c r="B9459" s="181">
        <v>8.0193275666528976</v>
      </c>
    </row>
    <row r="9460" spans="2:2" ht="15">
      <c r="B9460" s="181">
        <v>6.8970880564972958</v>
      </c>
    </row>
    <row r="9461" spans="2:2" ht="15">
      <c r="B9461" s="181">
        <v>30.412506089298095</v>
      </c>
    </row>
    <row r="9462" spans="2:2" ht="15">
      <c r="B9462" s="181">
        <v>15.821434957007751</v>
      </c>
    </row>
    <row r="9463" spans="2:2" ht="15">
      <c r="B9463" s="181">
        <v>20.833469460595769</v>
      </c>
    </row>
    <row r="9464" spans="2:2" ht="15">
      <c r="B9464" s="181">
        <v>23.53868414009078</v>
      </c>
    </row>
    <row r="9465" spans="2:2" ht="15">
      <c r="B9465" s="181">
        <v>20.912375539821184</v>
      </c>
    </row>
    <row r="9466" spans="2:2" ht="15">
      <c r="B9466" s="181">
        <v>35.033695477539851</v>
      </c>
    </row>
    <row r="9467" spans="2:2" ht="15">
      <c r="B9467" s="181">
        <v>44.53553284177741</v>
      </c>
    </row>
    <row r="9468" spans="2:2" ht="15">
      <c r="B9468" s="181">
        <v>8.0489003150038165</v>
      </c>
    </row>
    <row r="9469" spans="2:2" ht="15">
      <c r="B9469" s="181">
        <v>11.062256734728246</v>
      </c>
    </row>
    <row r="9470" spans="2:2" ht="15">
      <c r="B9470" s="181">
        <v>26.855611258086807</v>
      </c>
    </row>
    <row r="9471" spans="2:2" ht="15">
      <c r="B9471" s="181">
        <v>20.453681500431262</v>
      </c>
    </row>
    <row r="9472" spans="2:2" ht="15">
      <c r="B9472" s="181">
        <v>20.92027295341142</v>
      </c>
    </row>
    <row r="9473" spans="2:2" ht="15">
      <c r="B9473" s="181">
        <v>18.954405293436981</v>
      </c>
    </row>
    <row r="9474" spans="2:2" ht="15">
      <c r="B9474" s="181">
        <v>38.409040737429528</v>
      </c>
    </row>
    <row r="9475" spans="2:2" ht="15">
      <c r="B9475" s="181">
        <v>46.539808622685641</v>
      </c>
    </row>
    <row r="9476" spans="2:2" ht="15">
      <c r="B9476" s="181">
        <v>12.579988563665673</v>
      </c>
    </row>
    <row r="9477" spans="2:2" ht="15">
      <c r="B9477" s="181">
        <v>37.804842192482354</v>
      </c>
    </row>
    <row r="9478" spans="2:2" ht="15">
      <c r="B9478" s="181">
        <v>17.978102601016381</v>
      </c>
    </row>
    <row r="9479" spans="2:2" ht="15">
      <c r="B9479" s="181">
        <v>19.070488891118746</v>
      </c>
    </row>
    <row r="9480" spans="2:2" ht="15">
      <c r="B9480" s="181">
        <v>16.62885658917488</v>
      </c>
    </row>
    <row r="9481" spans="2:2" ht="15">
      <c r="B9481" s="181">
        <v>50.025443279071226</v>
      </c>
    </row>
    <row r="9482" spans="2:2" ht="15">
      <c r="B9482" s="181">
        <v>13.9454652808923</v>
      </c>
    </row>
    <row r="9483" spans="2:2" ht="15">
      <c r="B9483" s="181">
        <v>17.268053400499248</v>
      </c>
    </row>
    <row r="9484" spans="2:2" ht="15">
      <c r="B9484" s="181">
        <v>14.965336589498431</v>
      </c>
    </row>
    <row r="9485" spans="2:2" ht="15">
      <c r="B9485" s="181">
        <v>25.79587198361568</v>
      </c>
    </row>
    <row r="9486" spans="2:2" ht="15">
      <c r="B9486" s="181">
        <v>24.613575027416672</v>
      </c>
    </row>
    <row r="9487" spans="2:2" ht="15">
      <c r="B9487" s="181">
        <v>38.513412191651874</v>
      </c>
    </row>
    <row r="9488" spans="2:2" ht="15">
      <c r="B9488" s="181">
        <v>26.090331605343138</v>
      </c>
    </row>
    <row r="9489" spans="2:2" ht="15">
      <c r="B9489" s="181">
        <v>41.766419159296625</v>
      </c>
    </row>
    <row r="9490" spans="2:2" ht="15">
      <c r="B9490" s="181">
        <v>8.1749065673095487</v>
      </c>
    </row>
    <row r="9491" spans="2:2" ht="15">
      <c r="B9491" s="181">
        <v>26.802745219206482</v>
      </c>
    </row>
    <row r="9492" spans="2:2" ht="15">
      <c r="B9492" s="181">
        <v>8.3866577230082484</v>
      </c>
    </row>
    <row r="9493" spans="2:2" ht="15">
      <c r="B9493" s="181">
        <v>30.004109855948016</v>
      </c>
    </row>
    <row r="9494" spans="2:2" ht="15">
      <c r="B9494" s="181">
        <v>29.309426573048615</v>
      </c>
    </row>
    <row r="9495" spans="2:2" ht="15">
      <c r="B9495" s="181">
        <v>16.88448025793279</v>
      </c>
    </row>
    <row r="9496" spans="2:2" ht="15">
      <c r="B9496" s="181">
        <v>32.941754301763673</v>
      </c>
    </row>
    <row r="9497" spans="2:2" ht="15">
      <c r="B9497" s="181">
        <v>33.099715400778088</v>
      </c>
    </row>
    <row r="9498" spans="2:2" ht="15">
      <c r="B9498" s="181">
        <v>20.896112057256449</v>
      </c>
    </row>
    <row r="9499" spans="2:2" ht="15">
      <c r="B9499" s="181">
        <v>16.337529813142943</v>
      </c>
    </row>
    <row r="9500" spans="2:2" ht="15">
      <c r="B9500" s="181">
        <v>32.371749580250771</v>
      </c>
    </row>
    <row r="9501" spans="2:2" ht="15">
      <c r="B9501" s="181">
        <v>6.9500891350024459</v>
      </c>
    </row>
    <row r="9502" spans="2:2" ht="15">
      <c r="B9502" s="181">
        <v>8.9358441940513025</v>
      </c>
    </row>
    <row r="9503" spans="2:2" ht="15">
      <c r="B9503" s="181">
        <v>5.7181487572662961</v>
      </c>
    </row>
    <row r="9504" spans="2:2" ht="15">
      <c r="B9504" s="181">
        <v>32.984586993263676</v>
      </c>
    </row>
    <row r="9505" spans="2:2" ht="15">
      <c r="B9505" s="181">
        <v>22.104660146942933</v>
      </c>
    </row>
    <row r="9506" spans="2:2" ht="15">
      <c r="B9506" s="181">
        <v>10.747960680134515</v>
      </c>
    </row>
    <row r="9507" spans="2:2" ht="15">
      <c r="B9507" s="181">
        <v>6.6661399247931703</v>
      </c>
    </row>
    <row r="9508" spans="2:2" ht="15">
      <c r="B9508" s="181">
        <v>14.175157691136523</v>
      </c>
    </row>
    <row r="9509" spans="2:2" ht="15">
      <c r="B9509" s="181">
        <v>26.703350980432706</v>
      </c>
    </row>
    <row r="9510" spans="2:2" ht="15">
      <c r="B9510" s="181">
        <v>11.302782168910641</v>
      </c>
    </row>
    <row r="9511" spans="2:2" ht="15">
      <c r="B9511" s="181">
        <v>35.262989668491464</v>
      </c>
    </row>
    <row r="9512" spans="2:2" ht="15">
      <c r="B9512" s="181">
        <v>10.773153181524529</v>
      </c>
    </row>
    <row r="9513" spans="2:2" ht="15">
      <c r="B9513" s="181">
        <v>11.343463502941562</v>
      </c>
    </row>
    <row r="9514" spans="2:2" ht="15">
      <c r="B9514" s="181">
        <v>27.369255986236322</v>
      </c>
    </row>
    <row r="9515" spans="2:2" ht="15">
      <c r="B9515" s="181">
        <v>18.341021158075332</v>
      </c>
    </row>
    <row r="9516" spans="2:2" ht="15">
      <c r="B9516" s="181">
        <v>18.428568445365361</v>
      </c>
    </row>
    <row r="9517" spans="2:2" ht="15">
      <c r="B9517" s="181">
        <v>22.06736458856026</v>
      </c>
    </row>
    <row r="9518" spans="2:2" ht="15">
      <c r="B9518" s="181">
        <v>11.929435659261513</v>
      </c>
    </row>
    <row r="9519" spans="2:2" ht="15">
      <c r="B9519" s="181">
        <v>21.008540859699931</v>
      </c>
    </row>
    <row r="9520" spans="2:2" ht="15">
      <c r="B9520" s="181">
        <v>24.939085824607162</v>
      </c>
    </row>
    <row r="9521" spans="2:2" ht="15">
      <c r="B9521" s="181">
        <v>17.567342597690796</v>
      </c>
    </row>
    <row r="9522" spans="2:2" ht="15">
      <c r="B9522" s="181">
        <v>48.689426501881798</v>
      </c>
    </row>
    <row r="9523" spans="2:2" ht="15">
      <c r="B9523" s="181">
        <v>9.4152494579514574</v>
      </c>
    </row>
    <row r="9524" spans="2:2" ht="15">
      <c r="B9524" s="181">
        <v>7.5352086855388611</v>
      </c>
    </row>
    <row r="9525" spans="2:2" ht="15">
      <c r="B9525" s="181">
        <v>17.162973354508441</v>
      </c>
    </row>
    <row r="9526" spans="2:2" ht="15">
      <c r="B9526" s="181">
        <v>28.387698300793268</v>
      </c>
    </row>
    <row r="9527" spans="2:2" ht="15">
      <c r="B9527" s="181">
        <v>19.171067757278493</v>
      </c>
    </row>
    <row r="9528" spans="2:2" ht="15">
      <c r="B9528" s="181">
        <v>8.5806394597463704</v>
      </c>
    </row>
    <row r="9529" spans="2:2" ht="15">
      <c r="B9529" s="181">
        <v>24.234677040234082</v>
      </c>
    </row>
    <row r="9530" spans="2:2" ht="15">
      <c r="B9530" s="181">
        <v>21.061917195792212</v>
      </c>
    </row>
    <row r="9531" spans="2:2" ht="15">
      <c r="B9531" s="181">
        <v>10.659002118792909</v>
      </c>
    </row>
    <row r="9532" spans="2:2" ht="15">
      <c r="B9532" s="181">
        <v>20.131369627538316</v>
      </c>
    </row>
    <row r="9533" spans="2:2" ht="15">
      <c r="B9533" s="181">
        <v>20.143343448817252</v>
      </c>
    </row>
    <row r="9534" spans="2:2" ht="15">
      <c r="B9534" s="181">
        <v>13.93020781532455</v>
      </c>
    </row>
    <row r="9535" spans="2:2" ht="15">
      <c r="B9535" s="181">
        <v>8.9238676561725274</v>
      </c>
    </row>
    <row r="9536" spans="2:2" ht="15">
      <c r="B9536" s="181">
        <v>30.770545112186223</v>
      </c>
    </row>
    <row r="9537" spans="2:2" ht="15">
      <c r="B9537" s="181">
        <v>9.1527390443771512</v>
      </c>
    </row>
    <row r="9538" spans="2:2" ht="15">
      <c r="B9538" s="181">
        <v>21.954074752401162</v>
      </c>
    </row>
    <row r="9539" spans="2:2" ht="15">
      <c r="B9539" s="181">
        <v>10.740408075434658</v>
      </c>
    </row>
    <row r="9540" spans="2:2" ht="15">
      <c r="B9540" s="181">
        <v>14.167836748880093</v>
      </c>
    </row>
    <row r="9541" spans="2:2" ht="15">
      <c r="B9541" s="181">
        <v>29.88874480141444</v>
      </c>
    </row>
    <row r="9542" spans="2:2" ht="15">
      <c r="B9542" s="181">
        <v>20.152191114520161</v>
      </c>
    </row>
    <row r="9543" spans="2:2" ht="15">
      <c r="B9543" s="181">
        <v>13.425085504265349</v>
      </c>
    </row>
    <row r="9544" spans="2:2" ht="15">
      <c r="B9544" s="181">
        <v>8.6884574272108921</v>
      </c>
    </row>
    <row r="9545" spans="2:2" ht="15">
      <c r="B9545" s="181">
        <v>17.972335384408655</v>
      </c>
    </row>
    <row r="9546" spans="2:2" ht="15">
      <c r="B9546" s="181">
        <v>13.716059599219269</v>
      </c>
    </row>
    <row r="9547" spans="2:2" ht="15">
      <c r="B9547" s="181">
        <v>29.741222749844933</v>
      </c>
    </row>
    <row r="9548" spans="2:2" ht="15">
      <c r="B9548" s="181">
        <v>6.046296958648524</v>
      </c>
    </row>
    <row r="9549" spans="2:2" ht="15">
      <c r="B9549" s="181">
        <v>21.687157607077609</v>
      </c>
    </row>
    <row r="9550" spans="2:2" ht="15">
      <c r="B9550" s="181">
        <v>9.3349737373610413</v>
      </c>
    </row>
    <row r="9551" spans="2:2" ht="15">
      <c r="B9551" s="181">
        <v>12.402370679361692</v>
      </c>
    </row>
    <row r="9552" spans="2:2" ht="15">
      <c r="B9552" s="181">
        <v>21.908091484086864</v>
      </c>
    </row>
    <row r="9553" spans="2:2" ht="15">
      <c r="B9553" s="181">
        <v>1.5274106126066767</v>
      </c>
    </row>
    <row r="9554" spans="2:2" ht="15">
      <c r="B9554" s="181">
        <v>15.378780276199359</v>
      </c>
    </row>
    <row r="9555" spans="2:2" ht="15">
      <c r="B9555" s="181">
        <v>8.1940521787548413</v>
      </c>
    </row>
    <row r="9556" spans="2:2" ht="15">
      <c r="B9556" s="181">
        <v>31.698134115513039</v>
      </c>
    </row>
    <row r="9557" spans="2:2" ht="15">
      <c r="B9557" s="181">
        <v>24.462225380732942</v>
      </c>
    </row>
    <row r="9558" spans="2:2" ht="15">
      <c r="B9558" s="181">
        <v>26.042289236913046</v>
      </c>
    </row>
    <row r="9559" spans="2:2" ht="15">
      <c r="B9559" s="181">
        <v>22.321479235076126</v>
      </c>
    </row>
    <row r="9560" spans="2:2" ht="15">
      <c r="B9560" s="181">
        <v>48.070352981560589</v>
      </c>
    </row>
    <row r="9561" spans="2:2" ht="15">
      <c r="B9561" s="181">
        <v>22.543685251591544</v>
      </c>
    </row>
    <row r="9562" spans="2:2" ht="15">
      <c r="B9562" s="181">
        <v>39.302826853740022</v>
      </c>
    </row>
    <row r="9563" spans="2:2" ht="15">
      <c r="B9563" s="181">
        <v>11.757943763537275</v>
      </c>
    </row>
    <row r="9564" spans="2:2" ht="15">
      <c r="B9564" s="181">
        <v>32.612110771265812</v>
      </c>
    </row>
    <row r="9565" spans="2:2" ht="15">
      <c r="B9565" s="181">
        <v>21.32800565895921</v>
      </c>
    </row>
    <row r="9566" spans="2:2" ht="15">
      <c r="B9566" s="181">
        <v>24.40288327419881</v>
      </c>
    </row>
    <row r="9567" spans="2:2" ht="15">
      <c r="B9567" s="181">
        <v>7.4928150101305198</v>
      </c>
    </row>
    <row r="9568" spans="2:2" ht="15">
      <c r="B9568" s="181">
        <v>12.323774404910219</v>
      </c>
    </row>
    <row r="9569" spans="2:2" ht="15">
      <c r="B9569" s="181">
        <v>12.641272594822695</v>
      </c>
    </row>
    <row r="9570" spans="2:2" ht="15">
      <c r="B9570" s="181">
        <v>14.62465653293108</v>
      </c>
    </row>
    <row r="9571" spans="2:2" ht="15">
      <c r="B9571" s="181">
        <v>32.588961233961058</v>
      </c>
    </row>
    <row r="9572" spans="2:2" ht="15">
      <c r="B9572" s="181">
        <v>15.699804437366375</v>
      </c>
    </row>
    <row r="9573" spans="2:2" ht="15">
      <c r="B9573" s="181">
        <v>8.7734878868755768</v>
      </c>
    </row>
    <row r="9574" spans="2:2" ht="15">
      <c r="B9574" s="181">
        <v>14.284349221984696</v>
      </c>
    </row>
    <row r="9575" spans="2:2" ht="15">
      <c r="B9575" s="181">
        <v>12.099760840650596</v>
      </c>
    </row>
    <row r="9576" spans="2:2" ht="15">
      <c r="B9576" s="181">
        <v>17.115604690704433</v>
      </c>
    </row>
    <row r="9577" spans="2:2" ht="15">
      <c r="B9577" s="181">
        <v>35.292806845676033</v>
      </c>
    </row>
    <row r="9578" spans="2:2" ht="15">
      <c r="B9578" s="181">
        <v>34.097745477911261</v>
      </c>
    </row>
    <row r="9579" spans="2:2" ht="15">
      <c r="B9579" s="181">
        <v>27.38364492978992</v>
      </c>
    </row>
    <row r="9580" spans="2:2" ht="15">
      <c r="B9580" s="181">
        <v>15.701509843285899</v>
      </c>
    </row>
    <row r="9581" spans="2:2" ht="15">
      <c r="B9581" s="181">
        <v>18.272786830707631</v>
      </c>
    </row>
    <row r="9582" spans="2:2" ht="15">
      <c r="B9582" s="181">
        <v>15.167797377712231</v>
      </c>
    </row>
    <row r="9583" spans="2:2" ht="15">
      <c r="B9583" s="181">
        <v>7.2111346803880023</v>
      </c>
    </row>
    <row r="9584" spans="2:2" ht="15">
      <c r="B9584" s="181">
        <v>32.731743292585016</v>
      </c>
    </row>
    <row r="9585" spans="2:2" ht="15">
      <c r="B9585" s="181">
        <v>6.9473013583394998</v>
      </c>
    </row>
    <row r="9586" spans="2:2" ht="15">
      <c r="B9586" s="181">
        <v>14.799077993711267</v>
      </c>
    </row>
    <row r="9587" spans="2:2" ht="15">
      <c r="B9587" s="181">
        <v>29.302873652467287</v>
      </c>
    </row>
    <row r="9588" spans="2:2" ht="15">
      <c r="B9588" s="181">
        <v>19.175960202203896</v>
      </c>
    </row>
    <row r="9589" spans="2:2" ht="15">
      <c r="B9589" s="181">
        <v>13.437366570933678</v>
      </c>
    </row>
    <row r="9590" spans="2:2" ht="15">
      <c r="B9590" s="181">
        <v>22.301899710189925</v>
      </c>
    </row>
    <row r="9591" spans="2:2" ht="15">
      <c r="B9591" s="181">
        <v>12.366830163253409</v>
      </c>
    </row>
    <row r="9592" spans="2:2" ht="15">
      <c r="B9592" s="181">
        <v>22.19866303523953</v>
      </c>
    </row>
    <row r="9593" spans="2:2" ht="15">
      <c r="B9593" s="181">
        <v>21.207118065619269</v>
      </c>
    </row>
    <row r="9594" spans="2:2" ht="15">
      <c r="B9594" s="181">
        <v>11.145821134580004</v>
      </c>
    </row>
    <row r="9595" spans="2:2" ht="15">
      <c r="B9595" s="181">
        <v>20.362275232887082</v>
      </c>
    </row>
    <row r="9596" spans="2:2" ht="15">
      <c r="B9596" s="181">
        <v>29.784413767372623</v>
      </c>
    </row>
    <row r="9597" spans="2:2" ht="15">
      <c r="B9597" s="181">
        <v>15.748013159981761</v>
      </c>
    </row>
    <row r="9598" spans="2:2" ht="15">
      <c r="B9598" s="181">
        <v>18.613450036379646</v>
      </c>
    </row>
    <row r="9599" spans="2:2" ht="15">
      <c r="B9599" s="181">
        <v>9.7004244369800503</v>
      </c>
    </row>
    <row r="9600" spans="2:2" ht="15">
      <c r="B9600" s="181">
        <v>20.86031996990862</v>
      </c>
    </row>
    <row r="9601" spans="2:2" ht="15">
      <c r="B9601" s="181">
        <v>17.182712581060198</v>
      </c>
    </row>
    <row r="9602" spans="2:2" ht="15">
      <c r="B9602" s="181">
        <v>10.287132552306298</v>
      </c>
    </row>
    <row r="9603" spans="2:2" ht="15">
      <c r="B9603" s="181">
        <v>31.834551505105594</v>
      </c>
    </row>
    <row r="9604" spans="2:2" ht="15">
      <c r="B9604" s="181">
        <v>33.340291487032701</v>
      </c>
    </row>
    <row r="9605" spans="2:2" ht="15">
      <c r="B9605" s="181">
        <v>20.603249529139557</v>
      </c>
    </row>
    <row r="9606" spans="2:2" ht="15">
      <c r="B9606" s="181">
        <v>12.967279501981523</v>
      </c>
    </row>
    <row r="9607" spans="2:2" ht="15">
      <c r="B9607" s="181">
        <v>5.2795284248535408</v>
      </c>
    </row>
    <row r="9608" spans="2:2" ht="15">
      <c r="B9608" s="181">
        <v>14.500412914687191</v>
      </c>
    </row>
    <row r="9609" spans="2:2" ht="15">
      <c r="B9609" s="181">
        <v>20.336116437831681</v>
      </c>
    </row>
    <row r="9610" spans="2:2" ht="15">
      <c r="B9610" s="181">
        <v>34.416990304133037</v>
      </c>
    </row>
    <row r="9611" spans="2:2" ht="15">
      <c r="B9611" s="181">
        <v>16.586291164108573</v>
      </c>
    </row>
    <row r="9612" spans="2:2" ht="15">
      <c r="B9612" s="181">
        <v>12.8617760351237</v>
      </c>
    </row>
    <row r="9613" spans="2:2" ht="15">
      <c r="B9613" s="181">
        <v>9.7068492147633556</v>
      </c>
    </row>
    <row r="9614" spans="2:2" ht="15">
      <c r="B9614" s="181">
        <v>34.222089880189543</v>
      </c>
    </row>
    <row r="9615" spans="2:2" ht="15">
      <c r="B9615" s="181">
        <v>5.2711435155305706</v>
      </c>
    </row>
    <row r="9616" spans="2:2" ht="15">
      <c r="B9616" s="181">
        <v>20.542709973470561</v>
      </c>
    </row>
    <row r="9617" spans="2:2" ht="15">
      <c r="B9617" s="181">
        <v>16.62716944364702</v>
      </c>
    </row>
    <row r="9618" spans="2:2" ht="15">
      <c r="B9618" s="181">
        <v>9.590496066504766</v>
      </c>
    </row>
    <row r="9619" spans="2:2" ht="15">
      <c r="B9619" s="181">
        <v>29.761193659466052</v>
      </c>
    </row>
    <row r="9620" spans="2:2" ht="15">
      <c r="B9620" s="181">
        <v>17.270652946847363</v>
      </c>
    </row>
    <row r="9621" spans="2:2" ht="15">
      <c r="B9621" s="181">
        <v>31.317124410044951</v>
      </c>
    </row>
    <row r="9622" spans="2:2" ht="15">
      <c r="B9622" s="181">
        <v>21.501094220112325</v>
      </c>
    </row>
    <row r="9623" spans="2:2" ht="15">
      <c r="B9623" s="181">
        <v>7.9351792263518508</v>
      </c>
    </row>
    <row r="9624" spans="2:2" ht="15">
      <c r="B9624" s="181">
        <v>18.704724849408379</v>
      </c>
    </row>
    <row r="9625" spans="2:2" ht="15">
      <c r="B9625" s="181">
        <v>35.422733968173965</v>
      </c>
    </row>
    <row r="9626" spans="2:2" ht="15">
      <c r="B9626" s="181">
        <v>10.589523288015455</v>
      </c>
    </row>
    <row r="9627" spans="2:2" ht="15">
      <c r="B9627" s="181">
        <v>44.237178584570273</v>
      </c>
    </row>
    <row r="9628" spans="2:2" ht="15">
      <c r="B9628" s="181">
        <v>21.850182000965923</v>
      </c>
    </row>
    <row r="9629" spans="2:2" ht="15">
      <c r="B9629" s="181">
        <v>21.503121344453415</v>
      </c>
    </row>
    <row r="9630" spans="2:2" ht="15">
      <c r="B9630" s="181">
        <v>15.530736545526103</v>
      </c>
    </row>
    <row r="9631" spans="2:2" ht="15">
      <c r="B9631" s="181">
        <v>37.801150908452307</v>
      </c>
    </row>
    <row r="9632" spans="2:2" ht="15">
      <c r="B9632" s="181">
        <v>15.176508988995348</v>
      </c>
    </row>
    <row r="9633" spans="2:2" ht="15">
      <c r="B9633" s="181">
        <v>8.1420744941151977</v>
      </c>
    </row>
    <row r="9634" spans="2:2" ht="15">
      <c r="B9634" s="181">
        <v>39.735795557407613</v>
      </c>
    </row>
    <row r="9635" spans="2:2" ht="15">
      <c r="B9635" s="181">
        <v>7.7849982606183801</v>
      </c>
    </row>
    <row r="9636" spans="2:2" ht="15">
      <c r="B9636" s="181">
        <v>10.302675029240067</v>
      </c>
    </row>
    <row r="9637" spans="2:2" ht="15">
      <c r="B9637" s="181">
        <v>16.254632972867924</v>
      </c>
    </row>
    <row r="9638" spans="2:2" ht="15">
      <c r="B9638" s="181">
        <v>13.639754549493372</v>
      </c>
    </row>
    <row r="9639" spans="2:2" ht="15">
      <c r="B9639" s="181">
        <v>14.254575186295083</v>
      </c>
    </row>
    <row r="9640" spans="2:2" ht="15">
      <c r="B9640" s="181">
        <v>17.032550215950888</v>
      </c>
    </row>
    <row r="9641" spans="2:2" ht="15">
      <c r="B9641" s="181">
        <v>72.809000971699717</v>
      </c>
    </row>
    <row r="9642" spans="2:2" ht="15">
      <c r="B9642" s="181">
        <v>16.353041903915837</v>
      </c>
    </row>
    <row r="9643" spans="2:2" ht="15">
      <c r="B9643" s="181">
        <v>61.201744033518807</v>
      </c>
    </row>
    <row r="9644" spans="2:2" ht="15">
      <c r="B9644" s="181">
        <v>10.529169223809763</v>
      </c>
    </row>
    <row r="9645" spans="2:2" ht="15">
      <c r="B9645" s="181">
        <v>19.812660353045207</v>
      </c>
    </row>
    <row r="9646" spans="2:2" ht="15">
      <c r="B9646" s="181">
        <v>24.627486679857125</v>
      </c>
    </row>
    <row r="9647" spans="2:2" ht="15">
      <c r="B9647" s="181">
        <v>12.472849121526606</v>
      </c>
    </row>
    <row r="9648" spans="2:2" ht="15">
      <c r="B9648" s="181">
        <v>15.653037590270234</v>
      </c>
    </row>
    <row r="9649" spans="2:2" ht="15">
      <c r="B9649" s="181">
        <v>8.2441431948648631</v>
      </c>
    </row>
    <row r="9650" spans="2:2" ht="15">
      <c r="B9650" s="181">
        <v>25.608224052272138</v>
      </c>
    </row>
    <row r="9651" spans="2:2" ht="15">
      <c r="B9651" s="181">
        <v>12.38755319693905</v>
      </c>
    </row>
    <row r="9652" spans="2:2" ht="15">
      <c r="B9652" s="181">
        <v>16.322443795701968</v>
      </c>
    </row>
    <row r="9653" spans="2:2" ht="15">
      <c r="B9653" s="181">
        <v>37.755473224930448</v>
      </c>
    </row>
    <row r="9654" spans="2:2" ht="15">
      <c r="B9654" s="181">
        <v>9.7080970359853787</v>
      </c>
    </row>
    <row r="9655" spans="2:2" ht="15">
      <c r="B9655" s="181">
        <v>16.503572318961748</v>
      </c>
    </row>
    <row r="9656" spans="2:2" ht="15">
      <c r="B9656" s="181">
        <v>39.697127329602999</v>
      </c>
    </row>
    <row r="9657" spans="2:2" ht="15">
      <c r="B9657" s="181">
        <v>13.964660555650367</v>
      </c>
    </row>
    <row r="9658" spans="2:2" ht="15">
      <c r="B9658" s="181">
        <v>9.9511298050977803</v>
      </c>
    </row>
    <row r="9659" spans="2:2" ht="15">
      <c r="B9659" s="181">
        <v>10.938255669452403</v>
      </c>
    </row>
    <row r="9660" spans="2:2" ht="15">
      <c r="B9660" s="181">
        <v>16.030518241012398</v>
      </c>
    </row>
    <row r="9661" spans="2:2" ht="15">
      <c r="B9661" s="181">
        <v>12.336794438558144</v>
      </c>
    </row>
    <row r="9662" spans="2:2" ht="15">
      <c r="B9662" s="181">
        <v>11.660356719631693</v>
      </c>
    </row>
    <row r="9663" spans="2:2" ht="15">
      <c r="B9663" s="181">
        <v>28.963869992371858</v>
      </c>
    </row>
    <row r="9664" spans="2:2" ht="15">
      <c r="B9664" s="181">
        <v>32.704005248408087</v>
      </c>
    </row>
    <row r="9665" spans="2:2" ht="15">
      <c r="B9665" s="181">
        <v>16.318949060564346</v>
      </c>
    </row>
    <row r="9666" spans="2:2" ht="15">
      <c r="B9666" s="181">
        <v>23.657960285239984</v>
      </c>
    </row>
    <row r="9667" spans="2:2" ht="15">
      <c r="B9667" s="181">
        <v>10.645435366508712</v>
      </c>
    </row>
    <row r="9668" spans="2:2" ht="15">
      <c r="B9668" s="181">
        <v>23.466799843027342</v>
      </c>
    </row>
    <row r="9669" spans="2:2" ht="15">
      <c r="B9669" s="181">
        <v>31.789938102074643</v>
      </c>
    </row>
    <row r="9670" spans="2:2" ht="15">
      <c r="B9670" s="181">
        <v>30.357508863722785</v>
      </c>
    </row>
    <row r="9671" spans="2:2" ht="15">
      <c r="B9671" s="181">
        <v>9.710561908647934</v>
      </c>
    </row>
    <row r="9672" spans="2:2" ht="15">
      <c r="B9672" s="181">
        <v>18.592100064037179</v>
      </c>
    </row>
    <row r="9673" spans="2:2" ht="15">
      <c r="B9673" s="181">
        <v>13.776576947496114</v>
      </c>
    </row>
    <row r="9674" spans="2:2" ht="15">
      <c r="B9674" s="181">
        <v>15.338278953999293</v>
      </c>
    </row>
    <row r="9675" spans="2:2" ht="15">
      <c r="B9675" s="181">
        <v>38.47673729829274</v>
      </c>
    </row>
    <row r="9676" spans="2:2" ht="15">
      <c r="B9676" s="181">
        <v>10.204287703562629</v>
      </c>
    </row>
    <row r="9677" spans="2:2" ht="15">
      <c r="B9677" s="181">
        <v>26.411021877815688</v>
      </c>
    </row>
    <row r="9678" spans="2:2" ht="15">
      <c r="B9678" s="181">
        <v>23.693681497741991</v>
      </c>
    </row>
    <row r="9679" spans="2:2" ht="15">
      <c r="B9679" s="181">
        <v>12.077142019578554</v>
      </c>
    </row>
    <row r="9680" spans="2:2" ht="15">
      <c r="B9680" s="181">
        <v>14.358379276571362</v>
      </c>
    </row>
    <row r="9681" spans="2:2" ht="15">
      <c r="B9681" s="181">
        <v>18.772165839716415</v>
      </c>
    </row>
    <row r="9682" spans="2:2" ht="15">
      <c r="B9682" s="181">
        <v>7.8323525984920099</v>
      </c>
    </row>
    <row r="9683" spans="2:2" ht="15">
      <c r="B9683" s="181">
        <v>9.7001689896801935</v>
      </c>
    </row>
    <row r="9684" spans="2:2" ht="15">
      <c r="B9684" s="181">
        <v>23.96140022002929</v>
      </c>
    </row>
    <row r="9685" spans="2:2" ht="15">
      <c r="B9685" s="181">
        <v>15.351399771020438</v>
      </c>
    </row>
    <row r="9686" spans="2:2" ht="15">
      <c r="B9686" s="181">
        <v>29.595464771664879</v>
      </c>
    </row>
    <row r="9687" spans="2:2" ht="15">
      <c r="B9687" s="181">
        <v>21.386905514489612</v>
      </c>
    </row>
    <row r="9688" spans="2:2" ht="15">
      <c r="B9688" s="181">
        <v>89.36095858202836</v>
      </c>
    </row>
    <row r="9689" spans="2:2" ht="15">
      <c r="B9689" s="181">
        <v>22.134936405623385</v>
      </c>
    </row>
    <row r="9690" spans="2:2" ht="15">
      <c r="B9690" s="181">
        <v>24.984284150747904</v>
      </c>
    </row>
    <row r="9691" spans="2:2" ht="15">
      <c r="B9691" s="181">
        <v>14.620121693165018</v>
      </c>
    </row>
    <row r="9692" spans="2:2" ht="15">
      <c r="B9692" s="181">
        <v>22.320048226309428</v>
      </c>
    </row>
    <row r="9693" spans="2:2" ht="15">
      <c r="B9693" s="181">
        <v>6.4096202357924348</v>
      </c>
    </row>
    <row r="9694" spans="2:2" ht="15">
      <c r="B9694" s="181">
        <v>32.744574886212078</v>
      </c>
    </row>
    <row r="9695" spans="2:2" ht="15">
      <c r="B9695" s="181">
        <v>31.594577742110801</v>
      </c>
    </row>
    <row r="9696" spans="2:2" ht="15">
      <c r="B9696" s="181">
        <v>13.853942510494273</v>
      </c>
    </row>
    <row r="9697" spans="2:2" ht="15">
      <c r="B9697" s="181">
        <v>10.380287843465968</v>
      </c>
    </row>
    <row r="9698" spans="2:2" ht="15">
      <c r="B9698" s="181">
        <v>36.568473885953168</v>
      </c>
    </row>
    <row r="9699" spans="2:2" ht="15">
      <c r="B9699" s="181">
        <v>25.866647316710171</v>
      </c>
    </row>
    <row r="9700" spans="2:2" ht="15">
      <c r="B9700" s="181">
        <v>28.453196880124853</v>
      </c>
    </row>
    <row r="9701" spans="2:2" ht="15">
      <c r="B9701" s="181">
        <v>24.342319824922374</v>
      </c>
    </row>
    <row r="9702" spans="2:2" ht="15">
      <c r="B9702" s="181">
        <v>4.2582223407119137</v>
      </c>
    </row>
    <row r="9703" spans="2:2" ht="15">
      <c r="B9703" s="181">
        <v>4.3252243308395038</v>
      </c>
    </row>
    <row r="9704" spans="2:2" ht="15">
      <c r="B9704" s="181">
        <v>12.44401892717854</v>
      </c>
    </row>
    <row r="9705" spans="2:2" ht="15">
      <c r="B9705" s="181">
        <v>12.754060653912333</v>
      </c>
    </row>
    <row r="9706" spans="2:2" ht="15">
      <c r="B9706" s="181">
        <v>30.487652992047774</v>
      </c>
    </row>
    <row r="9707" spans="2:2" ht="15">
      <c r="B9707" s="181">
        <v>19.175646183125597</v>
      </c>
    </row>
    <row r="9708" spans="2:2" ht="15">
      <c r="B9708" s="181">
        <v>21.882271375710552</v>
      </c>
    </row>
    <row r="9709" spans="2:2" ht="15">
      <c r="B9709" s="181">
        <v>29.327733093722419</v>
      </c>
    </row>
    <row r="9710" spans="2:2" ht="15">
      <c r="B9710" s="181">
        <v>32.76323248732777</v>
      </c>
    </row>
    <row r="9711" spans="2:2" ht="15">
      <c r="B9711" s="181">
        <v>18.594471671478939</v>
      </c>
    </row>
    <row r="9712" spans="2:2" ht="15">
      <c r="B9712" s="181">
        <v>27.033347238833169</v>
      </c>
    </row>
    <row r="9713" spans="2:2" ht="15">
      <c r="B9713" s="181">
        <v>20.721921817490522</v>
      </c>
    </row>
    <row r="9714" spans="2:2" ht="15">
      <c r="B9714" s="181">
        <v>32.805782384747559</v>
      </c>
    </row>
    <row r="9715" spans="2:2" ht="15">
      <c r="B9715" s="181">
        <v>7.4972987866656098</v>
      </c>
    </row>
    <row r="9716" spans="2:2" ht="15">
      <c r="B9716" s="181">
        <v>20.931939517087599</v>
      </c>
    </row>
    <row r="9717" spans="2:2" ht="15">
      <c r="B9717" s="181">
        <v>8.7696926239379032</v>
      </c>
    </row>
    <row r="9718" spans="2:2" ht="15">
      <c r="B9718" s="181">
        <v>12.363357044618169</v>
      </c>
    </row>
    <row r="9719" spans="2:2" ht="15">
      <c r="B9719" s="181">
        <v>9.0188774217828307</v>
      </c>
    </row>
    <row r="9720" spans="2:2" ht="15">
      <c r="B9720" s="181">
        <v>26.833328845567877</v>
      </c>
    </row>
    <row r="9721" spans="2:2" ht="15">
      <c r="B9721" s="181">
        <v>18.653304022784194</v>
      </c>
    </row>
    <row r="9722" spans="2:2" ht="15">
      <c r="B9722" s="181">
        <v>7.8771637542805584</v>
      </c>
    </row>
    <row r="9723" spans="2:2" ht="15">
      <c r="B9723" s="181">
        <v>8.8108310990823711</v>
      </c>
    </row>
    <row r="9724" spans="2:2" ht="15">
      <c r="B9724" s="181">
        <v>8.9548369478604428</v>
      </c>
    </row>
    <row r="9725" spans="2:2" ht="15">
      <c r="B9725" s="181">
        <v>17.065336212838034</v>
      </c>
    </row>
    <row r="9726" spans="2:2" ht="15">
      <c r="B9726" s="181">
        <v>29.478055119170481</v>
      </c>
    </row>
    <row r="9727" spans="2:2" ht="15">
      <c r="B9727" s="181">
        <v>51.081489409871672</v>
      </c>
    </row>
    <row r="9728" spans="2:2" ht="15">
      <c r="B9728" s="181">
        <v>11.793204675818963</v>
      </c>
    </row>
    <row r="9729" spans="2:2" ht="15">
      <c r="B9729" s="181">
        <v>25.287275070155438</v>
      </c>
    </row>
    <row r="9730" spans="2:2" ht="15">
      <c r="B9730" s="181">
        <v>20.30217370208533</v>
      </c>
    </row>
    <row r="9731" spans="2:2" ht="15">
      <c r="B9731" s="181">
        <v>8.893546858290474</v>
      </c>
    </row>
    <row r="9732" spans="2:2" ht="15">
      <c r="B9732" s="181">
        <v>18.517428577915169</v>
      </c>
    </row>
    <row r="9733" spans="2:2" ht="15">
      <c r="B9733" s="181">
        <v>13.834303862719988</v>
      </c>
    </row>
    <row r="9734" spans="2:2" ht="15">
      <c r="B9734" s="181">
        <v>28.096341180923254</v>
      </c>
    </row>
    <row r="9735" spans="2:2" ht="15">
      <c r="B9735" s="181">
        <v>6.0914793701554393</v>
      </c>
    </row>
    <row r="9736" spans="2:2" ht="15">
      <c r="B9736" s="181">
        <v>23.440424758223624</v>
      </c>
    </row>
    <row r="9737" spans="2:2" ht="15">
      <c r="B9737" s="181">
        <v>15.352049652348654</v>
      </c>
    </row>
    <row r="9738" spans="2:2" ht="15">
      <c r="B9738" s="181">
        <v>31.500350000967874</v>
      </c>
    </row>
    <row r="9739" spans="2:2" ht="15">
      <c r="B9739" s="181">
        <v>48.219865631088773</v>
      </c>
    </row>
    <row r="9740" spans="2:2" ht="15">
      <c r="B9740" s="181">
        <v>16.2536276267281</v>
      </c>
    </row>
    <row r="9741" spans="2:2" ht="15">
      <c r="B9741" s="181">
        <v>11.812826950058275</v>
      </c>
    </row>
    <row r="9742" spans="2:2" ht="15">
      <c r="B9742" s="181">
        <v>19.440424935735344</v>
      </c>
    </row>
    <row r="9743" spans="2:2" ht="15">
      <c r="B9743" s="181">
        <v>16.707989390324197</v>
      </c>
    </row>
    <row r="9744" spans="2:2" ht="15">
      <c r="B9744" s="181">
        <v>7.5339773149451119</v>
      </c>
    </row>
    <row r="9745" spans="2:2" ht="15">
      <c r="B9745" s="181">
        <v>42.715386103108607</v>
      </c>
    </row>
    <row r="9746" spans="2:2" ht="15">
      <c r="B9746" s="181">
        <v>34.020117520848721</v>
      </c>
    </row>
    <row r="9747" spans="2:2" ht="15">
      <c r="B9747" s="181">
        <v>28.840084171982642</v>
      </c>
    </row>
    <row r="9748" spans="2:2" ht="15">
      <c r="B9748" s="181">
        <v>9.1907410178411073</v>
      </c>
    </row>
    <row r="9749" spans="2:2" ht="15">
      <c r="B9749" s="181">
        <v>28.579655252152438</v>
      </c>
    </row>
    <row r="9750" spans="2:2" ht="15">
      <c r="B9750" s="181">
        <v>35.881227913968452</v>
      </c>
    </row>
    <row r="9751" spans="2:2" ht="15">
      <c r="B9751" s="181">
        <v>14.386501596666621</v>
      </c>
    </row>
    <row r="9752" spans="2:2" ht="15">
      <c r="B9752" s="181">
        <v>33.978992902384945</v>
      </c>
    </row>
    <row r="9753" spans="2:2" ht="15">
      <c r="B9753" s="181">
        <v>20.132100931974435</v>
      </c>
    </row>
    <row r="9754" spans="2:2" ht="15">
      <c r="B9754" s="181">
        <v>15.706898589367661</v>
      </c>
    </row>
    <row r="9755" spans="2:2" ht="15">
      <c r="B9755" s="181">
        <v>23.794331394447578</v>
      </c>
    </row>
    <row r="9756" spans="2:2" ht="15">
      <c r="B9756" s="181">
        <v>25.028172158948735</v>
      </c>
    </row>
    <row r="9757" spans="2:2" ht="15">
      <c r="B9757" s="181">
        <v>18.341683761276407</v>
      </c>
    </row>
    <row r="9758" spans="2:2" ht="15">
      <c r="B9758" s="181">
        <v>27.854388792294969</v>
      </c>
    </row>
    <row r="9759" spans="2:2" ht="15">
      <c r="B9759" s="181">
        <v>9.9752753108802015</v>
      </c>
    </row>
    <row r="9760" spans="2:2" ht="15">
      <c r="B9760" s="181">
        <v>16.737883692589801</v>
      </c>
    </row>
    <row r="9761" spans="2:2" ht="15">
      <c r="B9761" s="181">
        <v>37.502314293270381</v>
      </c>
    </row>
    <row r="9762" spans="2:2" ht="15">
      <c r="B9762" s="181">
        <v>41.935272277361065</v>
      </c>
    </row>
    <row r="9763" spans="2:2" ht="15">
      <c r="B9763" s="181">
        <v>16.707441422448237</v>
      </c>
    </row>
    <row r="9764" spans="2:2" ht="15">
      <c r="B9764" s="181">
        <v>25.96716862073368</v>
      </c>
    </row>
    <row r="9765" spans="2:2" ht="15">
      <c r="B9765" s="181">
        <v>26.042328257558964</v>
      </c>
    </row>
    <row r="9766" spans="2:2" ht="15">
      <c r="B9766" s="181">
        <v>5.2848098073323797</v>
      </c>
    </row>
    <row r="9767" spans="2:2" ht="15">
      <c r="B9767" s="181">
        <v>38.94516640278546</v>
      </c>
    </row>
    <row r="9768" spans="2:2" ht="15">
      <c r="B9768" s="181">
        <v>21.970944467890984</v>
      </c>
    </row>
    <row r="9769" spans="2:2" ht="15">
      <c r="B9769" s="181">
        <v>5.8869149012768931</v>
      </c>
    </row>
    <row r="9770" spans="2:2" ht="15">
      <c r="B9770" s="181">
        <v>17.835867074560056</v>
      </c>
    </row>
    <row r="9771" spans="2:2" ht="15">
      <c r="B9771" s="181">
        <v>10.272850243256944</v>
      </c>
    </row>
    <row r="9772" spans="2:2" ht="15">
      <c r="B9772" s="181">
        <v>24.429048375347769</v>
      </c>
    </row>
    <row r="9773" spans="2:2" ht="15">
      <c r="B9773" s="181">
        <v>9.9465409860745702</v>
      </c>
    </row>
    <row r="9774" spans="2:2" ht="15">
      <c r="B9774" s="181">
        <v>13.1898880679946</v>
      </c>
    </row>
    <row r="9775" spans="2:2" ht="15">
      <c r="B9775" s="181">
        <v>8.129482237804261</v>
      </c>
    </row>
    <row r="9776" spans="2:2" ht="15">
      <c r="B9776" s="181">
        <v>23.324694697367789</v>
      </c>
    </row>
    <row r="9777" spans="2:2" ht="15">
      <c r="B9777" s="181">
        <v>14.543101222453744</v>
      </c>
    </row>
    <row r="9778" spans="2:2" ht="15">
      <c r="B9778" s="181">
        <v>6.8905337035932126</v>
      </c>
    </row>
    <row r="9779" spans="2:2" ht="15">
      <c r="B9779" s="181">
        <v>16.076576280272711</v>
      </c>
    </row>
    <row r="9780" spans="2:2" ht="15">
      <c r="B9780" s="181">
        <v>7.3576100613503597</v>
      </c>
    </row>
    <row r="9781" spans="2:2" ht="15">
      <c r="B9781" s="181">
        <v>14.564173008541363</v>
      </c>
    </row>
    <row r="9782" spans="2:2" ht="15">
      <c r="B9782" s="181">
        <v>11.229743457339286</v>
      </c>
    </row>
    <row r="9783" spans="2:2" ht="15">
      <c r="B9783" s="181">
        <v>21.522311474364127</v>
      </c>
    </row>
    <row r="9784" spans="2:2" ht="15">
      <c r="B9784" s="181">
        <v>36.437460555473336</v>
      </c>
    </row>
    <row r="9785" spans="2:2" ht="15">
      <c r="B9785" s="181">
        <v>30.786677207560906</v>
      </c>
    </row>
    <row r="9786" spans="2:2" ht="15">
      <c r="B9786" s="181">
        <v>8.8774013159436471</v>
      </c>
    </row>
    <row r="9787" spans="2:2" ht="15">
      <c r="B9787" s="181">
        <v>26.229853022098375</v>
      </c>
    </row>
    <row r="9788" spans="2:2" ht="15">
      <c r="B9788" s="181">
        <v>20.058890397406294</v>
      </c>
    </row>
    <row r="9789" spans="2:2" ht="15">
      <c r="B9789" s="181">
        <v>17.4179433305431</v>
      </c>
    </row>
    <row r="9790" spans="2:2" ht="15">
      <c r="B9790" s="181">
        <v>20.045786002327041</v>
      </c>
    </row>
    <row r="9791" spans="2:2" ht="15">
      <c r="B9791" s="181">
        <v>12.614679428273643</v>
      </c>
    </row>
    <row r="9792" spans="2:2" ht="15">
      <c r="B9792" s="181">
        <v>7.4817310554126957</v>
      </c>
    </row>
    <row r="9793" spans="2:2" ht="15">
      <c r="B9793" s="181">
        <v>25.494351539485812</v>
      </c>
    </row>
    <row r="9794" spans="2:2" ht="15">
      <c r="B9794" s="181">
        <v>18.943149007511682</v>
      </c>
    </row>
    <row r="9795" spans="2:2" ht="15">
      <c r="B9795" s="181">
        <v>13.298259307682526</v>
      </c>
    </row>
    <row r="9796" spans="2:2" ht="15">
      <c r="B9796" s="181">
        <v>28.148528222658374</v>
      </c>
    </row>
    <row r="9797" spans="2:2" ht="15">
      <c r="B9797" s="181">
        <v>27.346790339857236</v>
      </c>
    </row>
    <row r="9798" spans="2:2" ht="15">
      <c r="B9798" s="181">
        <v>26.357264831489378</v>
      </c>
    </row>
    <row r="9799" spans="2:2" ht="15">
      <c r="B9799" s="181">
        <v>14.135433755457759</v>
      </c>
    </row>
    <row r="9800" spans="2:2" ht="15">
      <c r="B9800" s="181">
        <v>27.002365807292403</v>
      </c>
    </row>
    <row r="9801" spans="2:2" ht="15">
      <c r="B9801" s="181">
        <v>21.463917467693896</v>
      </c>
    </row>
    <row r="9802" spans="2:2" ht="15">
      <c r="B9802" s="181">
        <v>20.635938508819677</v>
      </c>
    </row>
    <row r="9803" spans="2:2" ht="15">
      <c r="B9803" s="181">
        <v>13.850729676522626</v>
      </c>
    </row>
    <row r="9804" spans="2:2" ht="15">
      <c r="B9804" s="181">
        <v>24.08453625049647</v>
      </c>
    </row>
    <row r="9805" spans="2:2" ht="15">
      <c r="B9805" s="181">
        <v>32.87448631206351</v>
      </c>
    </row>
    <row r="9806" spans="2:2" ht="15">
      <c r="B9806" s="181">
        <v>9.6583073433755384</v>
      </c>
    </row>
    <row r="9807" spans="2:2" ht="15">
      <c r="B9807" s="181">
        <v>22.399930999345024</v>
      </c>
    </row>
    <row r="9808" spans="2:2" ht="15">
      <c r="B9808" s="181">
        <v>24.117673365183816</v>
      </c>
    </row>
    <row r="9809" spans="2:2" ht="15">
      <c r="B9809" s="181">
        <v>31.900431320981404</v>
      </c>
    </row>
    <row r="9810" spans="2:2" ht="15">
      <c r="B9810" s="181">
        <v>25.183175279004857</v>
      </c>
    </row>
    <row r="9811" spans="2:2" ht="15">
      <c r="B9811" s="181">
        <v>23.330249553701183</v>
      </c>
    </row>
    <row r="9812" spans="2:2" ht="15">
      <c r="B9812" s="181">
        <v>21.414405124942459</v>
      </c>
    </row>
    <row r="9813" spans="2:2" ht="15">
      <c r="B9813" s="181">
        <v>8.1371134124181417</v>
      </c>
    </row>
    <row r="9814" spans="2:2" ht="15">
      <c r="B9814" s="181">
        <v>23.809132953912027</v>
      </c>
    </row>
    <row r="9815" spans="2:2" ht="15">
      <c r="B9815" s="181">
        <v>13.28051086640731</v>
      </c>
    </row>
    <row r="9816" spans="2:2" ht="15">
      <c r="B9816" s="181">
        <v>13.884453907516871</v>
      </c>
    </row>
    <row r="9817" spans="2:2" ht="15">
      <c r="B9817" s="181">
        <v>19.588164183466507</v>
      </c>
    </row>
    <row r="9818" spans="2:2" ht="15">
      <c r="B9818" s="181">
        <v>6.5718100267464488</v>
      </c>
    </row>
    <row r="9819" spans="2:2" ht="15">
      <c r="B9819" s="181">
        <v>8.1161493021364581</v>
      </c>
    </row>
    <row r="9820" spans="2:2" ht="15">
      <c r="B9820" s="181">
        <v>8.9284345669256115</v>
      </c>
    </row>
    <row r="9821" spans="2:2" ht="15">
      <c r="B9821" s="181">
        <v>10.310221866011421</v>
      </c>
    </row>
    <row r="9822" spans="2:2" ht="15">
      <c r="B9822" s="181">
        <v>10.337109736271822</v>
      </c>
    </row>
    <row r="9823" spans="2:2" ht="15">
      <c r="B9823" s="181">
        <v>18.071577136518293</v>
      </c>
    </row>
    <row r="9824" spans="2:2" ht="15">
      <c r="B9824" s="181">
        <v>9.2288533003683195</v>
      </c>
    </row>
    <row r="9825" spans="2:2" ht="15">
      <c r="B9825" s="181">
        <v>13.146223754969583</v>
      </c>
    </row>
    <row r="9826" spans="2:2" ht="15">
      <c r="B9826" s="181">
        <v>9.253174621854841</v>
      </c>
    </row>
    <row r="9827" spans="2:2" ht="15">
      <c r="B9827" s="181">
        <v>16.859039286916989</v>
      </c>
    </row>
    <row r="9828" spans="2:2" ht="15">
      <c r="B9828" s="181">
        <v>31.676618885822442</v>
      </c>
    </row>
    <row r="9829" spans="2:2" ht="15">
      <c r="B9829" s="181">
        <v>23.644890078886419</v>
      </c>
    </row>
    <row r="9830" spans="2:2" ht="15">
      <c r="B9830" s="181">
        <v>7.7090162074731339</v>
      </c>
    </row>
    <row r="9831" spans="2:2" ht="15">
      <c r="B9831" s="181">
        <v>40.496696866999521</v>
      </c>
    </row>
    <row r="9832" spans="2:2" ht="15">
      <c r="B9832" s="181">
        <v>9.5450346402839781</v>
      </c>
    </row>
    <row r="9833" spans="2:2" ht="15">
      <c r="B9833" s="181">
        <v>17.418966140951827</v>
      </c>
    </row>
    <row r="9834" spans="2:2" ht="15">
      <c r="B9834" s="181">
        <v>24.987562211192699</v>
      </c>
    </row>
    <row r="9835" spans="2:2" ht="15">
      <c r="B9835" s="181">
        <v>38.545171875072796</v>
      </c>
    </row>
    <row r="9836" spans="2:2" ht="15">
      <c r="B9836" s="181">
        <v>42.343199846700116</v>
      </c>
    </row>
    <row r="9837" spans="2:2" ht="15">
      <c r="B9837" s="181">
        <v>14.178223307886357</v>
      </c>
    </row>
    <row r="9838" spans="2:2" ht="15">
      <c r="B9838" s="181">
        <v>19.964036045840533</v>
      </c>
    </row>
    <row r="9839" spans="2:2" ht="15">
      <c r="B9839" s="181">
        <v>16.595849348223947</v>
      </c>
    </row>
    <row r="9840" spans="2:2" ht="15">
      <c r="B9840" s="181">
        <v>55.056507394758079</v>
      </c>
    </row>
    <row r="9841" spans="2:2" ht="15">
      <c r="B9841" s="181">
        <v>17.576564076123628</v>
      </c>
    </row>
    <row r="9842" spans="2:2" ht="15">
      <c r="B9842" s="181">
        <v>17.409132330570433</v>
      </c>
    </row>
    <row r="9843" spans="2:2" ht="15">
      <c r="B9843" s="181">
        <v>16.582738836869606</v>
      </c>
    </row>
    <row r="9844" spans="2:2" ht="15">
      <c r="B9844" s="181">
        <v>15.655468848565366</v>
      </c>
    </row>
    <row r="9845" spans="2:2" ht="15">
      <c r="B9845" s="181">
        <v>27.542459467419889</v>
      </c>
    </row>
    <row r="9846" spans="2:2" ht="15">
      <c r="B9846" s="181">
        <v>17.348310106537674</v>
      </c>
    </row>
    <row r="9847" spans="2:2" ht="15">
      <c r="B9847" s="181">
        <v>45.973962179924229</v>
      </c>
    </row>
    <row r="9848" spans="2:2" ht="15">
      <c r="B9848" s="181">
        <v>23.922127959086307</v>
      </c>
    </row>
    <row r="9849" spans="2:2" ht="15">
      <c r="B9849" s="181">
        <v>27.864663244739877</v>
      </c>
    </row>
    <row r="9850" spans="2:2" ht="15">
      <c r="B9850" s="181">
        <v>8.3704424074691222</v>
      </c>
    </row>
    <row r="9851" spans="2:2" ht="15">
      <c r="B9851" s="181">
        <v>26.504364736874059</v>
      </c>
    </row>
    <row r="9852" spans="2:2" ht="15">
      <c r="B9852" s="181">
        <v>22.734376206372964</v>
      </c>
    </row>
    <row r="9853" spans="2:2" ht="15">
      <c r="B9853" s="181">
        <v>17.101787157524733</v>
      </c>
    </row>
    <row r="9854" spans="2:2" ht="15">
      <c r="B9854" s="181">
        <v>13.517048070578614</v>
      </c>
    </row>
    <row r="9855" spans="2:2" ht="15">
      <c r="B9855" s="181">
        <v>18.898085585415146</v>
      </c>
    </row>
    <row r="9856" spans="2:2" ht="15">
      <c r="B9856" s="181">
        <v>8.8738736798050812</v>
      </c>
    </row>
    <row r="9857" spans="2:2" ht="15">
      <c r="B9857" s="181">
        <v>9.4533713576631815</v>
      </c>
    </row>
    <row r="9858" spans="2:2" ht="15">
      <c r="B9858" s="181">
        <v>25.612017409916461</v>
      </c>
    </row>
    <row r="9859" spans="2:2" ht="15">
      <c r="B9859" s="181">
        <v>22.365039364581332</v>
      </c>
    </row>
    <row r="9860" spans="2:2" ht="15">
      <c r="B9860" s="181">
        <v>6.6001988650227608</v>
      </c>
    </row>
    <row r="9861" spans="2:2" ht="15">
      <c r="B9861" s="181">
        <v>17.394465533239664</v>
      </c>
    </row>
    <row r="9862" spans="2:2" ht="15">
      <c r="B9862" s="181">
        <v>8.3674538045306921</v>
      </c>
    </row>
    <row r="9863" spans="2:2" ht="15">
      <c r="B9863" s="181">
        <v>28.243892134748204</v>
      </c>
    </row>
    <row r="9864" spans="2:2" ht="15">
      <c r="B9864" s="181">
        <v>23.373912427486633</v>
      </c>
    </row>
    <row r="9865" spans="2:2" ht="15">
      <c r="B9865" s="181">
        <v>30.752915871946762</v>
      </c>
    </row>
    <row r="9866" spans="2:2" ht="15">
      <c r="B9866" s="181">
        <v>29.813230942163717</v>
      </c>
    </row>
    <row r="9867" spans="2:2" ht="15">
      <c r="B9867" s="181">
        <v>11.824434122011318</v>
      </c>
    </row>
    <row r="9868" spans="2:2" ht="15">
      <c r="B9868" s="181">
        <v>14.517127444511562</v>
      </c>
    </row>
    <row r="9869" spans="2:2" ht="15">
      <c r="B9869" s="181">
        <v>26.153971067879212</v>
      </c>
    </row>
    <row r="9870" spans="2:2" ht="15">
      <c r="B9870" s="181">
        <v>21.723185261052418</v>
      </c>
    </row>
    <row r="9871" spans="2:2" ht="15">
      <c r="B9871" s="181">
        <v>36.923224751649016</v>
      </c>
    </row>
    <row r="9872" spans="2:2" ht="15">
      <c r="B9872" s="181">
        <v>18.564875504325574</v>
      </c>
    </row>
    <row r="9873" spans="2:2" ht="15">
      <c r="B9873" s="181">
        <v>22.17289247307659</v>
      </c>
    </row>
    <row r="9874" spans="2:2" ht="15">
      <c r="B9874" s="181">
        <v>36.295211345367051</v>
      </c>
    </row>
    <row r="9875" spans="2:2" ht="15">
      <c r="B9875" s="181">
        <v>15.220639438360569</v>
      </c>
    </row>
    <row r="9876" spans="2:2" ht="15">
      <c r="B9876" s="181">
        <v>38.526255993017848</v>
      </c>
    </row>
    <row r="9877" spans="2:2" ht="15">
      <c r="B9877" s="181">
        <v>16.915266098799034</v>
      </c>
    </row>
    <row r="9878" spans="2:2" ht="15">
      <c r="B9878" s="181">
        <v>10.594553643828823</v>
      </c>
    </row>
    <row r="9879" spans="2:2" ht="15">
      <c r="B9879" s="181">
        <v>16.778450159821521</v>
      </c>
    </row>
    <row r="9880" spans="2:2" ht="15">
      <c r="B9880" s="181">
        <v>39.14187852993107</v>
      </c>
    </row>
    <row r="9881" spans="2:2" ht="15">
      <c r="B9881" s="181">
        <v>13.011503500909386</v>
      </c>
    </row>
    <row r="9882" spans="2:2" ht="15">
      <c r="B9882" s="181">
        <v>10.892981961579117</v>
      </c>
    </row>
    <row r="9883" spans="2:2" ht="15">
      <c r="B9883" s="181">
        <v>15.539508586760878</v>
      </c>
    </row>
    <row r="9884" spans="2:2" ht="15">
      <c r="B9884" s="181">
        <v>27.955368105309319</v>
      </c>
    </row>
    <row r="9885" spans="2:2" ht="15">
      <c r="B9885" s="181">
        <v>23.186478354209832</v>
      </c>
    </row>
    <row r="9886" spans="2:2" ht="15">
      <c r="B9886" s="181">
        <v>15.555334826001561</v>
      </c>
    </row>
    <row r="9887" spans="2:2" ht="15">
      <c r="B9887" s="181">
        <v>10.744299271106879</v>
      </c>
    </row>
    <row r="9888" spans="2:2" ht="15">
      <c r="B9888" s="181">
        <v>21.433436438205437</v>
      </c>
    </row>
    <row r="9889" spans="2:2" ht="15">
      <c r="B9889" s="181">
        <v>13.188807310957001</v>
      </c>
    </row>
    <row r="9890" spans="2:2" ht="15">
      <c r="B9890" s="181">
        <v>15.547526176981314</v>
      </c>
    </row>
    <row r="9891" spans="2:2" ht="15">
      <c r="B9891" s="181">
        <v>11.669284865978032</v>
      </c>
    </row>
    <row r="9892" spans="2:2" ht="15">
      <c r="B9892" s="181">
        <v>30.731444363909947</v>
      </c>
    </row>
    <row r="9893" spans="2:2" ht="15">
      <c r="B9893" s="181">
        <v>25.992848532236259</v>
      </c>
    </row>
    <row r="9894" spans="2:2" ht="15">
      <c r="B9894" s="181">
        <v>21.940903037997781</v>
      </c>
    </row>
    <row r="9895" spans="2:2" ht="15">
      <c r="B9895" s="181">
        <v>22.124280937708463</v>
      </c>
    </row>
    <row r="9896" spans="2:2" ht="15">
      <c r="B9896" s="181">
        <v>26.76434945677466</v>
      </c>
    </row>
    <row r="9897" spans="2:2" ht="15">
      <c r="B9897" s="181">
        <v>36.078141227263934</v>
      </c>
    </row>
    <row r="9898" spans="2:2" ht="15">
      <c r="B9898" s="181">
        <v>11.551507132629125</v>
      </c>
    </row>
    <row r="9899" spans="2:2" ht="15">
      <c r="B9899" s="181">
        <v>9.8037532698947221</v>
      </c>
    </row>
    <row r="9900" spans="2:2" ht="15">
      <c r="B9900" s="181">
        <v>31.273452727807641</v>
      </c>
    </row>
    <row r="9901" spans="2:2" ht="15">
      <c r="B9901" s="181">
        <v>12.905288927066547</v>
      </c>
    </row>
    <row r="9902" spans="2:2" ht="15">
      <c r="B9902" s="181">
        <v>25.89138046033672</v>
      </c>
    </row>
    <row r="9903" spans="2:2" ht="15">
      <c r="B9903" s="181">
        <v>16.064818821629853</v>
      </c>
    </row>
    <row r="9904" spans="2:2" ht="15">
      <c r="B9904" s="181">
        <v>70.111138557599929</v>
      </c>
    </row>
    <row r="9905" spans="2:2" ht="15">
      <c r="B9905" s="181">
        <v>34.518577584227046</v>
      </c>
    </row>
    <row r="9906" spans="2:2" ht="15">
      <c r="B9906" s="181">
        <v>9.5031961182070237</v>
      </c>
    </row>
    <row r="9907" spans="2:2" ht="15">
      <c r="B9907" s="181">
        <v>6.0691420642307339</v>
      </c>
    </row>
    <row r="9908" spans="2:2" ht="15">
      <c r="B9908" s="181">
        <v>4.6948276462804115</v>
      </c>
    </row>
    <row r="9909" spans="2:2" ht="15">
      <c r="B9909" s="181">
        <v>24.483159156861159</v>
      </c>
    </row>
    <row r="9910" spans="2:2" ht="15">
      <c r="B9910" s="181">
        <v>16.709001357863485</v>
      </c>
    </row>
    <row r="9911" spans="2:2" ht="15">
      <c r="B9911" s="181">
        <v>6.2006005174018952</v>
      </c>
    </row>
    <row r="9912" spans="2:2" ht="15">
      <c r="B9912" s="181">
        <v>28.522597817126062</v>
      </c>
    </row>
    <row r="9913" spans="2:2" ht="15">
      <c r="B9913" s="181">
        <v>8.551846355875087</v>
      </c>
    </row>
    <row r="9914" spans="2:2" ht="15">
      <c r="B9914" s="181">
        <v>18.296058007497667</v>
      </c>
    </row>
    <row r="9915" spans="2:2" ht="15">
      <c r="B9915" s="181">
        <v>6.5465971022795557</v>
      </c>
    </row>
    <row r="9916" spans="2:2" ht="15">
      <c r="B9916" s="181">
        <v>22.399059913645015</v>
      </c>
    </row>
    <row r="9917" spans="2:2" ht="15">
      <c r="B9917" s="181">
        <v>15.228890229894478</v>
      </c>
    </row>
    <row r="9918" spans="2:2" ht="15">
      <c r="B9918" s="181">
        <v>36.097571833751857</v>
      </c>
    </row>
    <row r="9919" spans="2:2" ht="15">
      <c r="B9919" s="181">
        <v>20.363031217315719</v>
      </c>
    </row>
    <row r="9920" spans="2:2" ht="15">
      <c r="B9920" s="181">
        <v>7.7162115138592222</v>
      </c>
    </row>
    <row r="9921" spans="2:2" ht="15">
      <c r="B9921" s="181">
        <v>9.8757572092400192</v>
      </c>
    </row>
    <row r="9922" spans="2:2" ht="15">
      <c r="B9922" s="181">
        <v>10.276079397970991</v>
      </c>
    </row>
    <row r="9923" spans="2:2" ht="15">
      <c r="B9923" s="181">
        <v>21.31349418097329</v>
      </c>
    </row>
    <row r="9924" spans="2:2" ht="15">
      <c r="B9924" s="181">
        <v>47.775480661222993</v>
      </c>
    </row>
    <row r="9925" spans="2:2" ht="15">
      <c r="B9925" s="181">
        <v>12.919685236672862</v>
      </c>
    </row>
    <row r="9926" spans="2:2" ht="15">
      <c r="B9926" s="181">
        <v>32.282900387927874</v>
      </c>
    </row>
    <row r="9927" spans="2:2" ht="15">
      <c r="B9927" s="181">
        <v>11.317634804964493</v>
      </c>
    </row>
    <row r="9928" spans="2:2" ht="15">
      <c r="B9928" s="181">
        <v>8.9398212201275431</v>
      </c>
    </row>
    <row r="9929" spans="2:2" ht="15">
      <c r="B9929" s="181">
        <v>18.052413399471696</v>
      </c>
    </row>
    <row r="9930" spans="2:2" ht="15">
      <c r="B9930" s="181">
        <v>13.378587975251117</v>
      </c>
    </row>
    <row r="9931" spans="2:2" ht="15">
      <c r="B9931" s="181">
        <v>27.126427913340088</v>
      </c>
    </row>
    <row r="9932" spans="2:2" ht="15">
      <c r="B9932" s="181">
        <v>26.052857495171203</v>
      </c>
    </row>
    <row r="9933" spans="2:2" ht="15">
      <c r="B9933" s="181">
        <v>17.74261166152559</v>
      </c>
    </row>
    <row r="9934" spans="2:2" ht="15">
      <c r="B9934" s="181">
        <v>23.706420015395508</v>
      </c>
    </row>
    <row r="9935" spans="2:2" ht="15">
      <c r="B9935" s="181">
        <v>6.859292066446864</v>
      </c>
    </row>
    <row r="9936" spans="2:2" ht="15">
      <c r="B9936" s="181">
        <v>18.908781030983246</v>
      </c>
    </row>
    <row r="9937" spans="2:2" ht="15">
      <c r="B9937" s="181">
        <v>24.551849529385045</v>
      </c>
    </row>
    <row r="9938" spans="2:2" ht="15">
      <c r="B9938" s="181">
        <v>5.8158067273832526</v>
      </c>
    </row>
    <row r="9939" spans="2:2" ht="15">
      <c r="B9939" s="181">
        <v>12.427670334827303</v>
      </c>
    </row>
    <row r="9940" spans="2:2" ht="15">
      <c r="B9940" s="181">
        <v>18.524027466224872</v>
      </c>
    </row>
    <row r="9941" spans="2:2" ht="15">
      <c r="B9941" s="181">
        <v>8.3793310558690468</v>
      </c>
    </row>
    <row r="9942" spans="2:2" ht="15">
      <c r="B9942" s="181">
        <v>16.356663726630028</v>
      </c>
    </row>
    <row r="9943" spans="2:2" ht="15">
      <c r="B9943" s="181">
        <v>15.080919519521709</v>
      </c>
    </row>
    <row r="9944" spans="2:2" ht="15">
      <c r="B9944" s="181">
        <v>15.561257662534356</v>
      </c>
    </row>
    <row r="9945" spans="2:2" ht="15">
      <c r="B9945" s="181">
        <v>7.5052249831513196</v>
      </c>
    </row>
    <row r="9946" spans="2:2" ht="15">
      <c r="B9946" s="181">
        <v>28.137613391742672</v>
      </c>
    </row>
    <row r="9947" spans="2:2" ht="15">
      <c r="B9947" s="181">
        <v>7.3860628924541283</v>
      </c>
    </row>
    <row r="9948" spans="2:2" ht="15">
      <c r="B9948" s="181">
        <v>23.109901851073737</v>
      </c>
    </row>
    <row r="9949" spans="2:2" ht="15">
      <c r="B9949" s="181">
        <v>27.620656581376231</v>
      </c>
    </row>
    <row r="9950" spans="2:2" ht="15">
      <c r="B9950" s="181">
        <v>27.190045446483538</v>
      </c>
    </row>
    <row r="9951" spans="2:2" ht="15">
      <c r="B9951" s="181">
        <v>21.318189739705513</v>
      </c>
    </row>
    <row r="9952" spans="2:2" ht="15">
      <c r="B9952" s="181">
        <v>44.367087008487857</v>
      </c>
    </row>
    <row r="9953" spans="2:2" ht="15">
      <c r="B9953" s="181">
        <v>26.125968714356546</v>
      </c>
    </row>
    <row r="9954" spans="2:2" ht="15">
      <c r="B9954" s="181">
        <v>15.797341330865736</v>
      </c>
    </row>
    <row r="9955" spans="2:2" ht="15">
      <c r="B9955" s="181">
        <v>27.198043222238567</v>
      </c>
    </row>
    <row r="9956" spans="2:2" ht="15">
      <c r="B9956" s="181">
        <v>46.258282192092807</v>
      </c>
    </row>
    <row r="9957" spans="2:2" ht="15">
      <c r="B9957" s="181">
        <v>29.652792409697323</v>
      </c>
    </row>
    <row r="9958" spans="2:2" ht="15">
      <c r="B9958" s="181">
        <v>14.329616357689785</v>
      </c>
    </row>
    <row r="9959" spans="2:2" ht="15">
      <c r="B9959" s="181">
        <v>18.27999427438775</v>
      </c>
    </row>
    <row r="9960" spans="2:2" ht="15">
      <c r="B9960" s="181">
        <v>5.0245148406683056</v>
      </c>
    </row>
    <row r="9961" spans="2:2" ht="15">
      <c r="B9961" s="181">
        <v>9.1904696160709616</v>
      </c>
    </row>
    <row r="9962" spans="2:2" ht="15">
      <c r="B9962" s="181">
        <v>20.735358551008975</v>
      </c>
    </row>
    <row r="9963" spans="2:2" ht="15">
      <c r="B9963" s="181">
        <v>27.137329184768959</v>
      </c>
    </row>
    <row r="9964" spans="2:2" ht="15">
      <c r="B9964" s="181">
        <v>23.373060714991478</v>
      </c>
    </row>
    <row r="9965" spans="2:2" ht="15">
      <c r="B9965" s="181">
        <v>16.962882480369696</v>
      </c>
    </row>
    <row r="9966" spans="2:2" ht="15">
      <c r="B9966" s="181">
        <v>9.9256081436383017</v>
      </c>
    </row>
    <row r="9967" spans="2:2" ht="15">
      <c r="B9967" s="181">
        <v>25.50240328834446</v>
      </c>
    </row>
    <row r="9968" spans="2:2" ht="15">
      <c r="B9968" s="181">
        <v>11.084734035449433</v>
      </c>
    </row>
    <row r="9969" spans="2:2" ht="15">
      <c r="B9969" s="181">
        <v>13.804357048159975</v>
      </c>
    </row>
    <row r="9970" spans="2:2" ht="15">
      <c r="B9970" s="181">
        <v>35.237054177310277</v>
      </c>
    </row>
    <row r="9971" spans="2:2" ht="15">
      <c r="B9971" s="181">
        <v>24.727999665137769</v>
      </c>
    </row>
    <row r="9972" spans="2:2" ht="15">
      <c r="B9972" s="181">
        <v>15.715331862955246</v>
      </c>
    </row>
    <row r="9973" spans="2:2" ht="15">
      <c r="B9973" s="181">
        <v>18.278903870992146</v>
      </c>
    </row>
    <row r="9974" spans="2:2" ht="15">
      <c r="B9974" s="181">
        <v>28.538063046020532</v>
      </c>
    </row>
    <row r="9975" spans="2:2" ht="15">
      <c r="B9975" s="181">
        <v>26.701112452565411</v>
      </c>
    </row>
    <row r="9976" spans="2:2" ht="15">
      <c r="B9976" s="181">
        <v>34.254734961816411</v>
      </c>
    </row>
    <row r="9977" spans="2:2" ht="15">
      <c r="B9977" s="181">
        <v>24.122530421428817</v>
      </c>
    </row>
    <row r="9978" spans="2:2" ht="15">
      <c r="B9978" s="181">
        <v>16.355711184835965</v>
      </c>
    </row>
    <row r="9979" spans="2:2" ht="15">
      <c r="B9979" s="181">
        <v>20.34489421522294</v>
      </c>
    </row>
    <row r="9980" spans="2:2" ht="15">
      <c r="B9980" s="181">
        <v>14.300025537747601</v>
      </c>
    </row>
    <row r="9981" spans="2:2" ht="15">
      <c r="B9981" s="181">
        <v>12.021143405522198</v>
      </c>
    </row>
    <row r="9982" spans="2:2" ht="15">
      <c r="B9982" s="181">
        <v>29.594777989502219</v>
      </c>
    </row>
    <row r="9983" spans="2:2" ht="15">
      <c r="B9983" s="181">
        <v>22.794462310030219</v>
      </c>
    </row>
    <row r="9984" spans="2:2" ht="15">
      <c r="B9984" s="181">
        <v>23.524025017530633</v>
      </c>
    </row>
    <row r="9985" spans="2:2" ht="15">
      <c r="B9985" s="181">
        <v>47.561593431695059</v>
      </c>
    </row>
    <row r="9986" spans="2:2" ht="15">
      <c r="B9986" s="181">
        <v>38.533033036837047</v>
      </c>
    </row>
    <row r="9987" spans="2:2" ht="15">
      <c r="B9987" s="181">
        <v>10.223843004423278</v>
      </c>
    </row>
    <row r="9988" spans="2:2" ht="15">
      <c r="B9988" s="181">
        <v>34.018512958585596</v>
      </c>
    </row>
    <row r="9989" spans="2:2" ht="15">
      <c r="B9989" s="181">
        <v>14.96506617931222</v>
      </c>
    </row>
    <row r="9990" spans="2:2" ht="15">
      <c r="B9990" s="181">
        <v>23.341008561340001</v>
      </c>
    </row>
    <row r="9991" spans="2:2" ht="15">
      <c r="B9991" s="181">
        <v>27.409725126235891</v>
      </c>
    </row>
    <row r="9992" spans="2:2" ht="15">
      <c r="B9992" s="181">
        <v>12.149271525674584</v>
      </c>
    </row>
    <row r="9993" spans="2:2" ht="15">
      <c r="B9993" s="181">
        <v>9.1274713952886302</v>
      </c>
    </row>
    <row r="9994" spans="2:2" ht="15">
      <c r="B9994" s="181">
        <v>17.808241120170322</v>
      </c>
    </row>
    <row r="9995" spans="2:2" ht="15">
      <c r="B9995" s="181">
        <v>26.357911931268148</v>
      </c>
    </row>
    <row r="9996" spans="2:2" ht="15">
      <c r="B9996" s="181">
        <v>12.15316844226745</v>
      </c>
    </row>
    <row r="9997" spans="2:2" ht="15">
      <c r="B9997" s="181">
        <v>25.88174453270495</v>
      </c>
    </row>
    <row r="9998" spans="2:2" ht="15">
      <c r="B9998" s="181">
        <v>12.950182792850191</v>
      </c>
    </row>
    <row r="9999" spans="2:2" ht="15">
      <c r="B9999" s="181">
        <v>16.359954802477976</v>
      </c>
    </row>
    <row r="10000" spans="2:2" ht="15">
      <c r="B10000" s="181">
        <v>20.466752994792902</v>
      </c>
    </row>
    <row r="10001" spans="2:2" ht="15">
      <c r="B10001" s="181">
        <v>32.376241935423586</v>
      </c>
    </row>
    <row r="10002" spans="2:2" ht="15">
      <c r="B10002" s="181">
        <v>32.819677023424191</v>
      </c>
    </row>
    <row r="10003" spans="2:2" ht="15">
      <c r="B10003" s="181">
        <v>17.170100488220424</v>
      </c>
    </row>
    <row r="10004" spans="2:2" ht="15">
      <c r="B10004" s="181">
        <v>20.165663279768282</v>
      </c>
    </row>
    <row r="10005" spans="2:2" ht="15">
      <c r="B10005" s="181">
        <v>24.627972365810638</v>
      </c>
    </row>
    <row r="10006" spans="2:2" ht="15">
      <c r="B10006" s="181">
        <v>34.588370598111652</v>
      </c>
    </row>
    <row r="10007" spans="2:2" ht="15">
      <c r="B10007" s="181">
        <v>5.963242951040816</v>
      </c>
    </row>
    <row r="10008" spans="2:2" ht="15">
      <c r="B10008" s="181">
        <v>21.175063912702662</v>
      </c>
    </row>
    <row r="10009" spans="2:2" ht="15">
      <c r="B10009" s="181">
        <v>33.173795390081239</v>
      </c>
    </row>
    <row r="10010" spans="2:2" ht="15">
      <c r="B10010" s="181">
        <v>6.0580881285945711</v>
      </c>
    </row>
    <row r="10011" spans="2:2" ht="15">
      <c r="B10011" s="181">
        <v>22.82512631353341</v>
      </c>
    </row>
    <row r="10012" spans="2:2" ht="15">
      <c r="B10012" s="181">
        <v>8.4169017229325469</v>
      </c>
    </row>
    <row r="10013" spans="2:2" ht="15">
      <c r="B10013" s="181">
        <v>15.769298447753179</v>
      </c>
    </row>
    <row r="10014" spans="2:2" ht="15">
      <c r="B10014" s="181">
        <v>42.554666595006381</v>
      </c>
    </row>
    <row r="10015" spans="2:2" ht="15">
      <c r="B10015" s="181">
        <v>9.0601204100345516</v>
      </c>
    </row>
    <row r="10016" spans="2:2" ht="15">
      <c r="B10016" s="181">
        <v>11.263232887294146</v>
      </c>
    </row>
    <row r="10017" spans="2:2" ht="15">
      <c r="B10017" s="181">
        <v>27.481283642446698</v>
      </c>
    </row>
    <row r="10018" spans="2:2" ht="15">
      <c r="B10018" s="181">
        <v>13.091317744542341</v>
      </c>
    </row>
    <row r="10019" spans="2:2" ht="15">
      <c r="B10019" s="181">
        <v>19.704840815089678</v>
      </c>
    </row>
    <row r="10020" spans="2:2" ht="15">
      <c r="B10020" s="181">
        <v>17.705768215174473</v>
      </c>
    </row>
    <row r="10021" spans="2:2" ht="15">
      <c r="B10021" s="181">
        <v>10.164128460152028</v>
      </c>
    </row>
    <row r="10022" spans="2:2" ht="15">
      <c r="B10022" s="181">
        <v>14.826552388719259</v>
      </c>
    </row>
    <row r="10023" spans="2:2" ht="15">
      <c r="B10023" s="181">
        <v>38.010618615843867</v>
      </c>
    </row>
    <row r="10024" spans="2:2" ht="15">
      <c r="B10024" s="181">
        <v>14.570420175886836</v>
      </c>
    </row>
    <row r="10025" spans="2:2" ht="15">
      <c r="B10025" s="181">
        <v>7.8180341377270359</v>
      </c>
    </row>
    <row r="10026" spans="2:2" ht="15">
      <c r="B10026" s="181">
        <v>17.382499560661174</v>
      </c>
    </row>
    <row r="10027" spans="2:2" ht="15">
      <c r="B10027" s="181">
        <v>4.6769252411639979</v>
      </c>
    </row>
    <row r="10028" spans="2:2" ht="15">
      <c r="B10028" s="181">
        <v>23.208754441394397</v>
      </c>
    </row>
    <row r="10029" spans="2:2" ht="15">
      <c r="B10029" s="181">
        <v>20.823623463132996</v>
      </c>
    </row>
    <row r="10030" spans="2:2" ht="15">
      <c r="B10030" s="181">
        <v>30.284020977398921</v>
      </c>
    </row>
    <row r="10031" spans="2:2" ht="15">
      <c r="B10031" s="181">
        <v>45.957063565740924</v>
      </c>
    </row>
    <row r="10032" spans="2:2" ht="15">
      <c r="B10032" s="181">
        <v>32.380083614969102</v>
      </c>
    </row>
    <row r="10033" spans="2:2" ht="15">
      <c r="B10033" s="181">
        <v>19.201476200698611</v>
      </c>
    </row>
    <row r="10034" spans="2:2" ht="15">
      <c r="B10034" s="181">
        <v>19.263748009466376</v>
      </c>
    </row>
    <row r="10035" spans="2:2" ht="15">
      <c r="B10035" s="181">
        <v>11.313431475550649</v>
      </c>
    </row>
    <row r="10036" spans="2:2" ht="15">
      <c r="B10036" s="181">
        <v>7.6880386256462785</v>
      </c>
    </row>
    <row r="10037" spans="2:2" ht="15">
      <c r="B10037" s="181">
        <v>8.794177977551799</v>
      </c>
    </row>
    <row r="10038" spans="2:2" ht="15">
      <c r="B10038" s="181">
        <v>6.3978794558261427</v>
      </c>
    </row>
    <row r="10039" spans="2:2" ht="15">
      <c r="B10039" s="181">
        <v>31.68686761613413</v>
      </c>
    </row>
    <row r="10040" spans="2:2" ht="15">
      <c r="B10040" s="181">
        <v>6.6843895124789645</v>
      </c>
    </row>
    <row r="10041" spans="2:2" ht="15">
      <c r="B10041" s="181">
        <v>10.312477465125154</v>
      </c>
    </row>
    <row r="10042" spans="2:2" ht="15">
      <c r="B10042" s="181">
        <v>14.335691304775983</v>
      </c>
    </row>
    <row r="10043" spans="2:2" ht="15">
      <c r="B10043" s="181">
        <v>7.9000837223761806</v>
      </c>
    </row>
    <row r="10044" spans="2:2" ht="15">
      <c r="B10044" s="181">
        <v>8.2546737439871922</v>
      </c>
    </row>
    <row r="10045" spans="2:2" ht="15">
      <c r="B10045" s="181">
        <v>12.693313451393779</v>
      </c>
    </row>
    <row r="10046" spans="2:2" ht="15">
      <c r="B10046" s="181">
        <v>9.8148606928459898</v>
      </c>
    </row>
    <row r="10047" spans="2:2" ht="15">
      <c r="B10047" s="181">
        <v>13.464455090157905</v>
      </c>
    </row>
    <row r="10048" spans="2:2" ht="15">
      <c r="B10048" s="181">
        <v>11.549464612628439</v>
      </c>
    </row>
    <row r="10049" spans="2:2" ht="15">
      <c r="B10049" s="181">
        <v>19.456630527880016</v>
      </c>
    </row>
    <row r="10050" spans="2:2" ht="15">
      <c r="B10050" s="181">
        <v>23.566033149181845</v>
      </c>
    </row>
    <row r="10051" spans="2:2" ht="15">
      <c r="B10051" s="181">
        <v>10.116104909419976</v>
      </c>
    </row>
    <row r="10052" spans="2:2" ht="15">
      <c r="B10052" s="181">
        <v>16.256622548486078</v>
      </c>
    </row>
    <row r="10053" spans="2:2" ht="15">
      <c r="B10053" s="181">
        <v>30.092873809689731</v>
      </c>
    </row>
    <row r="10054" spans="2:2" ht="15">
      <c r="B10054" s="181">
        <v>21.620300176475173</v>
      </c>
    </row>
    <row r="10055" spans="2:2" ht="15">
      <c r="B10055" s="181">
        <v>15.989374538835198</v>
      </c>
    </row>
  </sheetData>
  <conditionalFormatting sqref="D17:F20 F26 E21:F22 L4:L5 D33:F40 E27:F32 L12:L16">
    <cfRule type="colorScale" priority="2">
      <colorScale>
        <cfvo type="num" val="-0.5"/>
        <cfvo type="num" val="0"/>
        <cfvo type="num" val="0.5"/>
        <color rgb="FFF8696B"/>
        <color theme="0"/>
        <color rgb="FF63BE7B"/>
      </colorScale>
    </cfRule>
  </conditionalFormatting>
  <conditionalFormatting sqref="D7:H11">
    <cfRule type="colorScale" priority="1">
      <colorScale>
        <cfvo type="num" val="-0.5"/>
        <cfvo type="num" val="0"/>
        <cfvo type="num" val="0.5"/>
        <color rgb="FFF8696B"/>
        <color theme="0"/>
        <color rgb="FF63BE7B"/>
      </colorScale>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C070-905F-4912-948C-06707D38F5FB}">
  <sheetPr>
    <tabColor theme="7" tint="0.79998168889431442"/>
  </sheetPr>
  <dimension ref="A1:I71"/>
  <sheetViews>
    <sheetView showGridLines="0" workbookViewId="0">
      <selection activeCell="D6" sqref="D6"/>
    </sheetView>
  </sheetViews>
  <sheetFormatPr defaultColWidth="11" defaultRowHeight="14.25"/>
  <cols>
    <col min="1" max="1" width="27.375" customWidth="1"/>
  </cols>
  <sheetData>
    <row r="1" spans="1:9" ht="15">
      <c r="A1" s="709" t="s">
        <v>527</v>
      </c>
      <c r="B1" s="709" t="s">
        <v>527</v>
      </c>
      <c r="C1" s="709" t="s">
        <v>527</v>
      </c>
      <c r="D1" s="709" t="s">
        <v>527</v>
      </c>
      <c r="E1" s="709" t="s">
        <v>527</v>
      </c>
      <c r="F1" s="709" t="s">
        <v>527</v>
      </c>
      <c r="G1" s="709" t="s">
        <v>527</v>
      </c>
      <c r="H1" s="709" t="s">
        <v>527</v>
      </c>
      <c r="I1" s="709" t="s">
        <v>527</v>
      </c>
    </row>
    <row r="2" spans="1:9" ht="20.25">
      <c r="A2" s="710" t="s">
        <v>563</v>
      </c>
      <c r="B2" s="711"/>
      <c r="C2" s="711"/>
      <c r="D2" s="709" t="s">
        <v>527</v>
      </c>
      <c r="E2" s="709" t="s">
        <v>527</v>
      </c>
      <c r="F2" s="709" t="s">
        <v>527</v>
      </c>
      <c r="G2" s="709" t="s">
        <v>527</v>
      </c>
      <c r="H2" s="709" t="s">
        <v>527</v>
      </c>
      <c r="I2" s="709" t="s">
        <v>527</v>
      </c>
    </row>
    <row r="3" spans="1:9">
      <c r="A3" s="712" t="s">
        <v>527</v>
      </c>
      <c r="B3" s="712" t="s">
        <v>527</v>
      </c>
      <c r="C3" s="712" t="s">
        <v>527</v>
      </c>
      <c r="D3" s="712" t="s">
        <v>527</v>
      </c>
      <c r="E3" s="712" t="s">
        <v>527</v>
      </c>
      <c r="F3" s="712" t="s">
        <v>527</v>
      </c>
      <c r="G3" s="712" t="s">
        <v>527</v>
      </c>
      <c r="H3" s="712" t="s">
        <v>527</v>
      </c>
      <c r="I3" s="712" t="s">
        <v>527</v>
      </c>
    </row>
    <row r="4" spans="1:9">
      <c r="A4" s="713" t="s">
        <v>564</v>
      </c>
      <c r="B4" s="714" t="s">
        <v>565</v>
      </c>
      <c r="C4" s="714" t="s">
        <v>566</v>
      </c>
      <c r="D4" s="714" t="s">
        <v>567</v>
      </c>
      <c r="E4" s="714" t="s">
        <v>568</v>
      </c>
      <c r="F4" s="714" t="s">
        <v>569</v>
      </c>
      <c r="G4" s="714" t="s">
        <v>570</v>
      </c>
      <c r="H4" s="714" t="s">
        <v>571</v>
      </c>
      <c r="I4" s="714" t="s">
        <v>572</v>
      </c>
    </row>
    <row r="5" spans="1:9">
      <c r="A5" s="715" t="s">
        <v>573</v>
      </c>
      <c r="B5" s="717">
        <v>44196</v>
      </c>
      <c r="C5" s="717">
        <v>44561</v>
      </c>
      <c r="D5" s="717">
        <v>44926</v>
      </c>
      <c r="E5" s="717">
        <v>45291</v>
      </c>
      <c r="F5" s="717">
        <v>45657</v>
      </c>
      <c r="G5" s="717">
        <v>45657</v>
      </c>
      <c r="H5" s="717">
        <v>46022</v>
      </c>
      <c r="I5" s="717">
        <v>46387</v>
      </c>
    </row>
    <row r="6" spans="1:9">
      <c r="A6" s="718" t="s">
        <v>205</v>
      </c>
      <c r="B6" s="725">
        <v>0</v>
      </c>
      <c r="C6" s="727">
        <v>2099</v>
      </c>
      <c r="D6" s="727">
        <v>11131</v>
      </c>
      <c r="E6" s="727">
        <v>22042</v>
      </c>
      <c r="F6" s="727">
        <v>43073</v>
      </c>
      <c r="G6" s="736">
        <v>43073</v>
      </c>
      <c r="H6" s="727">
        <v>84833</v>
      </c>
      <c r="I6" s="727">
        <v>166333</v>
      </c>
    </row>
    <row r="7" spans="1:9">
      <c r="A7" s="720" t="s">
        <v>574</v>
      </c>
      <c r="B7" s="721">
        <v>0</v>
      </c>
      <c r="C7" s="724">
        <v>2099</v>
      </c>
      <c r="D7" s="724">
        <v>11131</v>
      </c>
      <c r="E7" s="724">
        <v>22042</v>
      </c>
      <c r="F7" s="724">
        <v>43073</v>
      </c>
      <c r="G7" s="738">
        <v>43073</v>
      </c>
      <c r="H7" s="723" t="s">
        <v>527</v>
      </c>
      <c r="I7" s="723" t="s">
        <v>527</v>
      </c>
    </row>
    <row r="8" spans="1:9">
      <c r="A8" s="720" t="s">
        <v>575</v>
      </c>
      <c r="B8" s="721">
        <v>143</v>
      </c>
      <c r="C8" s="724">
        <v>1040</v>
      </c>
      <c r="D8" s="724">
        <v>2944</v>
      </c>
      <c r="E8" s="724">
        <v>8108</v>
      </c>
      <c r="F8" s="724">
        <v>20597</v>
      </c>
      <c r="G8" s="738">
        <v>20597</v>
      </c>
      <c r="H8" s="723" t="s">
        <v>527</v>
      </c>
      <c r="I8" s="723" t="s">
        <v>527</v>
      </c>
    </row>
    <row r="9" spans="1:9">
      <c r="A9" s="720" t="s">
        <v>576</v>
      </c>
      <c r="B9" s="721">
        <v>143</v>
      </c>
      <c r="C9" s="724">
        <v>1040</v>
      </c>
      <c r="D9" s="724">
        <v>2944</v>
      </c>
      <c r="E9" s="724">
        <v>8108</v>
      </c>
      <c r="F9" s="724">
        <v>20597</v>
      </c>
      <c r="G9" s="738">
        <v>20597</v>
      </c>
      <c r="H9" s="723" t="s">
        <v>527</v>
      </c>
      <c r="I9" s="723" t="s">
        <v>527</v>
      </c>
    </row>
    <row r="10" spans="1:9">
      <c r="A10" s="718" t="s">
        <v>259</v>
      </c>
      <c r="B10" s="725">
        <v>-143</v>
      </c>
      <c r="C10" s="727">
        <v>1059</v>
      </c>
      <c r="D10" s="727">
        <v>8187</v>
      </c>
      <c r="E10" s="727">
        <v>13934</v>
      </c>
      <c r="F10" s="727">
        <v>22476</v>
      </c>
      <c r="G10" s="736">
        <v>22476</v>
      </c>
      <c r="H10" s="727">
        <v>58170</v>
      </c>
      <c r="I10" s="727">
        <v>116155</v>
      </c>
    </row>
    <row r="11" spans="1:9">
      <c r="A11" s="720" t="s">
        <v>577</v>
      </c>
      <c r="B11" s="721">
        <v>0</v>
      </c>
      <c r="C11" s="723">
        <v>0</v>
      </c>
      <c r="D11" s="723">
        <v>0</v>
      </c>
      <c r="E11" s="723">
        <v>0</v>
      </c>
      <c r="F11" s="723">
        <v>0</v>
      </c>
      <c r="G11" s="737">
        <v>0</v>
      </c>
      <c r="H11" s="723" t="s">
        <v>527</v>
      </c>
      <c r="I11" s="723" t="s">
        <v>527</v>
      </c>
    </row>
    <row r="12" spans="1:9">
      <c r="A12" s="720" t="s">
        <v>578</v>
      </c>
      <c r="B12" s="722">
        <v>15590</v>
      </c>
      <c r="C12" s="724">
        <v>39746</v>
      </c>
      <c r="D12" s="724">
        <v>93933</v>
      </c>
      <c r="E12" s="724">
        <v>171688</v>
      </c>
      <c r="F12" s="724">
        <v>254931</v>
      </c>
      <c r="G12" s="738">
        <v>254931</v>
      </c>
      <c r="H12" s="723" t="s">
        <v>527</v>
      </c>
      <c r="I12" s="723" t="s">
        <v>527</v>
      </c>
    </row>
    <row r="13" spans="1:9">
      <c r="A13" s="720" t="s">
        <v>579</v>
      </c>
      <c r="B13" s="722">
        <v>4033</v>
      </c>
      <c r="C13" s="724">
        <v>16970</v>
      </c>
      <c r="D13" s="724">
        <v>44351</v>
      </c>
      <c r="E13" s="724">
        <v>68992</v>
      </c>
      <c r="F13" s="724">
        <v>99450</v>
      </c>
      <c r="G13" s="738">
        <v>99450</v>
      </c>
      <c r="H13" s="723" t="s">
        <v>527</v>
      </c>
      <c r="I13" s="723" t="s">
        <v>527</v>
      </c>
    </row>
    <row r="14" spans="1:9">
      <c r="A14" s="728" t="s">
        <v>580</v>
      </c>
      <c r="B14" s="729">
        <v>486</v>
      </c>
      <c r="C14" s="731">
        <v>3233</v>
      </c>
      <c r="D14" s="731">
        <v>8385</v>
      </c>
      <c r="E14" s="731">
        <v>18270</v>
      </c>
      <c r="F14" s="731">
        <v>28395</v>
      </c>
      <c r="G14" s="740">
        <v>28395</v>
      </c>
      <c r="H14" s="730" t="s">
        <v>527</v>
      </c>
      <c r="I14" s="730" t="s">
        <v>527</v>
      </c>
    </row>
    <row r="15" spans="1:9">
      <c r="A15" s="728" t="s">
        <v>581</v>
      </c>
      <c r="B15" s="732">
        <v>3547</v>
      </c>
      <c r="C15" s="731">
        <v>13737</v>
      </c>
      <c r="D15" s="731">
        <v>35966</v>
      </c>
      <c r="E15" s="731">
        <v>50722</v>
      </c>
      <c r="F15" s="731">
        <v>71055</v>
      </c>
      <c r="G15" s="740">
        <v>71055</v>
      </c>
      <c r="H15" s="730" t="s">
        <v>527</v>
      </c>
      <c r="I15" s="730" t="s">
        <v>527</v>
      </c>
    </row>
    <row r="16" spans="1:9">
      <c r="A16" s="720" t="s">
        <v>582</v>
      </c>
      <c r="B16" s="722">
        <v>10157</v>
      </c>
      <c r="C16" s="724">
        <v>20228</v>
      </c>
      <c r="D16" s="724">
        <v>43978</v>
      </c>
      <c r="E16" s="724">
        <v>92321</v>
      </c>
      <c r="F16" s="724">
        <v>136827</v>
      </c>
      <c r="G16" s="738">
        <v>136827</v>
      </c>
      <c r="H16" s="723" t="s">
        <v>527</v>
      </c>
      <c r="I16" s="723" t="s">
        <v>527</v>
      </c>
    </row>
    <row r="17" spans="1:9">
      <c r="A17" s="720" t="s">
        <v>583</v>
      </c>
      <c r="B17" s="722">
        <v>1400</v>
      </c>
      <c r="C17" s="724">
        <v>2548</v>
      </c>
      <c r="D17" s="724">
        <v>5604</v>
      </c>
      <c r="E17" s="724">
        <v>10375</v>
      </c>
      <c r="F17" s="724">
        <v>18654</v>
      </c>
      <c r="G17" s="738">
        <v>18654</v>
      </c>
      <c r="H17" s="723" t="s">
        <v>527</v>
      </c>
      <c r="I17" s="723" t="s">
        <v>527</v>
      </c>
    </row>
    <row r="18" spans="1:9">
      <c r="A18" s="720" t="s">
        <v>584</v>
      </c>
      <c r="B18" s="721">
        <v>0</v>
      </c>
      <c r="C18" s="723">
        <v>0</v>
      </c>
      <c r="D18" s="723">
        <v>0</v>
      </c>
      <c r="E18" s="723">
        <v>0</v>
      </c>
      <c r="F18" s="723">
        <v>0</v>
      </c>
      <c r="G18" s="737">
        <v>0</v>
      </c>
      <c r="H18" s="723" t="s">
        <v>527</v>
      </c>
      <c r="I18" s="723" t="s">
        <v>527</v>
      </c>
    </row>
    <row r="19" spans="1:9">
      <c r="A19" s="718" t="s">
        <v>585</v>
      </c>
      <c r="B19" s="726">
        <v>-15733</v>
      </c>
      <c r="C19" s="727">
        <v>-38687</v>
      </c>
      <c r="D19" s="727">
        <v>-85746</v>
      </c>
      <c r="E19" s="727">
        <v>-157754</v>
      </c>
      <c r="F19" s="727">
        <v>-232455</v>
      </c>
      <c r="G19" s="736">
        <v>-232455</v>
      </c>
      <c r="H19" s="727">
        <v>-127250</v>
      </c>
      <c r="I19" s="727">
        <v>-141040</v>
      </c>
    </row>
    <row r="20" spans="1:9">
      <c r="A20" s="720" t="s">
        <v>586</v>
      </c>
      <c r="B20" s="721">
        <v>-309</v>
      </c>
      <c r="C20" s="724">
        <v>67499</v>
      </c>
      <c r="D20" s="724">
        <v>-37235</v>
      </c>
      <c r="E20" s="723">
        <v>-31</v>
      </c>
      <c r="F20" s="724">
        <v>99133</v>
      </c>
      <c r="G20" s="738">
        <v>99133</v>
      </c>
      <c r="H20" s="723" t="s">
        <v>527</v>
      </c>
      <c r="I20" s="723" t="s">
        <v>527</v>
      </c>
    </row>
    <row r="21" spans="1:9">
      <c r="A21" s="720" t="s">
        <v>587</v>
      </c>
      <c r="B21" s="721" t="s">
        <v>588</v>
      </c>
      <c r="C21" s="723" t="s">
        <v>588</v>
      </c>
      <c r="D21" s="724">
        <v>-7093</v>
      </c>
      <c r="E21" s="724">
        <v>-19322</v>
      </c>
      <c r="F21" s="724">
        <v>-18249</v>
      </c>
      <c r="G21" s="738">
        <v>-18249</v>
      </c>
      <c r="H21" s="723" t="s">
        <v>527</v>
      </c>
      <c r="I21" s="723" t="s">
        <v>527</v>
      </c>
    </row>
    <row r="22" spans="1:9">
      <c r="A22" s="728" t="s">
        <v>589</v>
      </c>
      <c r="B22" s="729" t="s">
        <v>588</v>
      </c>
      <c r="C22" s="730" t="s">
        <v>588</v>
      </c>
      <c r="D22" s="730">
        <v>0</v>
      </c>
      <c r="E22" s="730">
        <v>0</v>
      </c>
      <c r="F22" s="730">
        <v>0</v>
      </c>
      <c r="G22" s="739">
        <v>0</v>
      </c>
      <c r="H22" s="730" t="s">
        <v>527</v>
      </c>
      <c r="I22" s="730" t="s">
        <v>527</v>
      </c>
    </row>
    <row r="23" spans="1:9">
      <c r="A23" s="728" t="s">
        <v>590</v>
      </c>
      <c r="B23" s="729">
        <v>0</v>
      </c>
      <c r="C23" s="730">
        <v>0</v>
      </c>
      <c r="D23" s="731">
        <v>7093</v>
      </c>
      <c r="E23" s="731">
        <v>19322</v>
      </c>
      <c r="F23" s="731">
        <v>18249</v>
      </c>
      <c r="G23" s="740">
        <v>18249</v>
      </c>
      <c r="H23" s="730" t="s">
        <v>527</v>
      </c>
      <c r="I23" s="730" t="s">
        <v>527</v>
      </c>
    </row>
    <row r="24" spans="1:9">
      <c r="A24" s="720" t="s">
        <v>591</v>
      </c>
      <c r="B24" s="721">
        <v>0</v>
      </c>
      <c r="C24" s="723">
        <v>0</v>
      </c>
      <c r="D24" s="723">
        <v>0</v>
      </c>
      <c r="E24" s="723">
        <v>0</v>
      </c>
      <c r="F24" s="723">
        <v>0</v>
      </c>
      <c r="G24" s="737" t="s">
        <v>527</v>
      </c>
      <c r="H24" s="723" t="s">
        <v>527</v>
      </c>
      <c r="I24" s="723" t="s">
        <v>527</v>
      </c>
    </row>
    <row r="25" spans="1:9">
      <c r="A25" s="720" t="s">
        <v>592</v>
      </c>
      <c r="B25" s="721">
        <v>-309</v>
      </c>
      <c r="C25" s="724">
        <v>67499</v>
      </c>
      <c r="D25" s="724">
        <v>-30142</v>
      </c>
      <c r="E25" s="724">
        <v>19291</v>
      </c>
      <c r="F25" s="724">
        <v>117382</v>
      </c>
      <c r="G25" s="738">
        <v>117382</v>
      </c>
      <c r="H25" s="723" t="s">
        <v>527</v>
      </c>
      <c r="I25" s="723" t="s">
        <v>527</v>
      </c>
    </row>
    <row r="26" spans="1:9">
      <c r="A26" s="718" t="s">
        <v>593</v>
      </c>
      <c r="B26" s="726">
        <v>-15424</v>
      </c>
      <c r="C26" s="727">
        <v>-106186</v>
      </c>
      <c r="D26" s="727">
        <v>-48511</v>
      </c>
      <c r="E26" s="727">
        <v>-157723</v>
      </c>
      <c r="F26" s="727">
        <v>-331588</v>
      </c>
      <c r="G26" s="736">
        <v>-331588</v>
      </c>
      <c r="H26" s="727">
        <v>-113200</v>
      </c>
      <c r="I26" s="727">
        <v>-95800</v>
      </c>
    </row>
    <row r="27" spans="1:9">
      <c r="A27" s="720" t="s">
        <v>594</v>
      </c>
      <c r="B27" s="721">
        <v>0</v>
      </c>
      <c r="C27" s="723">
        <v>0</v>
      </c>
      <c r="D27" s="723">
        <v>0</v>
      </c>
      <c r="E27" s="723">
        <v>0</v>
      </c>
      <c r="F27" s="723">
        <v>0</v>
      </c>
      <c r="G27" s="737">
        <v>0</v>
      </c>
      <c r="H27" s="723" t="s">
        <v>527</v>
      </c>
      <c r="I27" s="723" t="s">
        <v>527</v>
      </c>
    </row>
    <row r="28" spans="1:9">
      <c r="A28" s="718" t="s">
        <v>595</v>
      </c>
      <c r="B28" s="726">
        <v>-15424</v>
      </c>
      <c r="C28" s="727">
        <v>-106186</v>
      </c>
      <c r="D28" s="727">
        <v>-48511</v>
      </c>
      <c r="E28" s="727">
        <v>-157723</v>
      </c>
      <c r="F28" s="727">
        <v>-331588</v>
      </c>
      <c r="G28" s="736">
        <v>-331588</v>
      </c>
      <c r="H28" s="727">
        <v>-113200</v>
      </c>
      <c r="I28" s="727">
        <v>-95800</v>
      </c>
    </row>
    <row r="29" spans="1:9">
      <c r="A29" s="720" t="s">
        <v>596</v>
      </c>
      <c r="B29" s="721">
        <v>0</v>
      </c>
      <c r="C29" s="723">
        <v>0</v>
      </c>
      <c r="D29" s="723">
        <v>0</v>
      </c>
      <c r="E29" s="723">
        <v>48</v>
      </c>
      <c r="F29" s="723">
        <v>59</v>
      </c>
      <c r="G29" s="737">
        <v>59</v>
      </c>
      <c r="H29" s="723" t="s">
        <v>527</v>
      </c>
      <c r="I29" s="723" t="s">
        <v>527</v>
      </c>
    </row>
    <row r="30" spans="1:9">
      <c r="A30" s="720" t="s">
        <v>597</v>
      </c>
      <c r="B30" s="721">
        <v>0</v>
      </c>
      <c r="C30" s="723">
        <v>0</v>
      </c>
      <c r="D30" s="723">
        <v>0</v>
      </c>
      <c r="E30" s="723">
        <v>48</v>
      </c>
      <c r="F30" s="723">
        <v>59</v>
      </c>
      <c r="G30" s="737">
        <v>20</v>
      </c>
      <c r="H30" s="723" t="s">
        <v>527</v>
      </c>
      <c r="I30" s="723" t="s">
        <v>527</v>
      </c>
    </row>
    <row r="31" spans="1:9">
      <c r="A31" s="720" t="s">
        <v>598</v>
      </c>
      <c r="B31" s="721">
        <v>0</v>
      </c>
      <c r="C31" s="723">
        <v>0</v>
      </c>
      <c r="D31" s="723">
        <v>0</v>
      </c>
      <c r="E31" s="723">
        <v>0</v>
      </c>
      <c r="F31" s="723">
        <v>0</v>
      </c>
      <c r="G31" s="737">
        <v>0</v>
      </c>
      <c r="H31" s="723" t="s">
        <v>527</v>
      </c>
      <c r="I31" s="723" t="s">
        <v>527</v>
      </c>
    </row>
    <row r="32" spans="1:9">
      <c r="A32" s="718" t="s">
        <v>599</v>
      </c>
      <c r="B32" s="726">
        <v>-15424</v>
      </c>
      <c r="C32" s="727">
        <v>-106186</v>
      </c>
      <c r="D32" s="727">
        <v>-48511</v>
      </c>
      <c r="E32" s="727">
        <v>-157771</v>
      </c>
      <c r="F32" s="727">
        <v>-331647</v>
      </c>
      <c r="G32" s="736">
        <v>-331647</v>
      </c>
      <c r="H32" s="727">
        <v>-229000</v>
      </c>
      <c r="I32" s="727">
        <v>-235450</v>
      </c>
    </row>
    <row r="33" spans="1:9">
      <c r="A33" s="720" t="s">
        <v>600</v>
      </c>
      <c r="B33" s="721">
        <v>0</v>
      </c>
      <c r="C33" s="723">
        <v>0</v>
      </c>
      <c r="D33" s="723">
        <v>0</v>
      </c>
      <c r="E33" s="723">
        <v>0</v>
      </c>
      <c r="F33" s="723">
        <v>0</v>
      </c>
      <c r="G33" s="737">
        <v>0</v>
      </c>
      <c r="H33" s="723" t="s">
        <v>527</v>
      </c>
      <c r="I33" s="723" t="s">
        <v>527</v>
      </c>
    </row>
    <row r="34" spans="1:9">
      <c r="A34" s="720" t="s">
        <v>601</v>
      </c>
      <c r="B34" s="721">
        <v>0</v>
      </c>
      <c r="C34" s="723">
        <v>0</v>
      </c>
      <c r="D34" s="723">
        <v>0</v>
      </c>
      <c r="E34" s="723">
        <v>0</v>
      </c>
      <c r="F34" s="723">
        <v>0</v>
      </c>
      <c r="G34" s="737">
        <v>0</v>
      </c>
      <c r="H34" s="723" t="s">
        <v>527</v>
      </c>
      <c r="I34" s="723" t="s">
        <v>527</v>
      </c>
    </row>
    <row r="35" spans="1:9">
      <c r="A35" s="720" t="s">
        <v>602</v>
      </c>
      <c r="B35" s="721">
        <v>0</v>
      </c>
      <c r="C35" s="723">
        <v>0</v>
      </c>
      <c r="D35" s="723">
        <v>0</v>
      </c>
      <c r="E35" s="723">
        <v>0</v>
      </c>
      <c r="F35" s="723">
        <v>0</v>
      </c>
      <c r="G35" s="737">
        <v>0</v>
      </c>
      <c r="H35" s="723" t="s">
        <v>527</v>
      </c>
      <c r="I35" s="723" t="s">
        <v>527</v>
      </c>
    </row>
    <row r="36" spans="1:9">
      <c r="A36" s="718" t="s">
        <v>603</v>
      </c>
      <c r="B36" s="726">
        <v>-15424</v>
      </c>
      <c r="C36" s="727">
        <v>-106186</v>
      </c>
      <c r="D36" s="727">
        <v>-48511</v>
      </c>
      <c r="E36" s="727">
        <v>-157771</v>
      </c>
      <c r="F36" s="727">
        <v>-331647</v>
      </c>
      <c r="G36" s="736">
        <v>-331647</v>
      </c>
      <c r="H36" s="719" t="s">
        <v>527</v>
      </c>
      <c r="I36" s="719" t="s">
        <v>527</v>
      </c>
    </row>
    <row r="37" spans="1:9">
      <c r="A37" s="720" t="s">
        <v>604</v>
      </c>
      <c r="B37" s="721">
        <v>0</v>
      </c>
      <c r="C37" s="723">
        <v>0</v>
      </c>
      <c r="D37" s="723">
        <v>0</v>
      </c>
      <c r="E37" s="723">
        <v>0</v>
      </c>
      <c r="F37" s="723">
        <v>0</v>
      </c>
      <c r="G37" s="737">
        <v>0</v>
      </c>
      <c r="H37" s="723" t="s">
        <v>527</v>
      </c>
      <c r="I37" s="723" t="s">
        <v>527</v>
      </c>
    </row>
    <row r="38" spans="1:9">
      <c r="A38" s="718" t="s">
        <v>605</v>
      </c>
      <c r="B38" s="726">
        <v>-15424</v>
      </c>
      <c r="C38" s="727">
        <v>-106186</v>
      </c>
      <c r="D38" s="727">
        <v>-48511</v>
      </c>
      <c r="E38" s="727">
        <v>-157771</v>
      </c>
      <c r="F38" s="727">
        <v>-331647</v>
      </c>
      <c r="G38" s="736">
        <v>-331647</v>
      </c>
      <c r="H38" s="727">
        <v>-229000</v>
      </c>
      <c r="I38" s="727">
        <v>-235450</v>
      </c>
    </row>
    <row r="39" spans="1:9">
      <c r="A39" s="720" t="s">
        <v>606</v>
      </c>
      <c r="B39" s="721">
        <v>0</v>
      </c>
      <c r="C39" s="723">
        <v>0</v>
      </c>
      <c r="D39" s="723">
        <v>0</v>
      </c>
      <c r="E39" s="723">
        <v>0</v>
      </c>
      <c r="F39" s="723">
        <v>0</v>
      </c>
      <c r="G39" s="737">
        <v>0</v>
      </c>
      <c r="H39" s="723" t="s">
        <v>527</v>
      </c>
      <c r="I39" s="723" t="s">
        <v>527</v>
      </c>
    </row>
    <row r="40" spans="1:9">
      <c r="A40" s="720" t="s">
        <v>607</v>
      </c>
      <c r="B40" s="721">
        <v>0</v>
      </c>
      <c r="C40" s="723">
        <v>0</v>
      </c>
      <c r="D40" s="723">
        <v>0</v>
      </c>
      <c r="E40" s="723">
        <v>0</v>
      </c>
      <c r="F40" s="723">
        <v>0</v>
      </c>
      <c r="G40" s="737">
        <v>0</v>
      </c>
      <c r="H40" s="723" t="s">
        <v>527</v>
      </c>
      <c r="I40" s="723" t="s">
        <v>527</v>
      </c>
    </row>
    <row r="41" spans="1:9">
      <c r="A41" s="718" t="s">
        <v>608</v>
      </c>
      <c r="B41" s="726">
        <v>-15424</v>
      </c>
      <c r="C41" s="727">
        <v>-106186</v>
      </c>
      <c r="D41" s="727">
        <v>-48511</v>
      </c>
      <c r="E41" s="727">
        <v>-157771</v>
      </c>
      <c r="F41" s="727">
        <v>-331647</v>
      </c>
      <c r="G41" s="736">
        <v>-331647</v>
      </c>
      <c r="H41" s="727">
        <v>-229000</v>
      </c>
      <c r="I41" s="727">
        <v>-235450</v>
      </c>
    </row>
    <row r="42" spans="1:9">
      <c r="A42" s="718" t="s">
        <v>527</v>
      </c>
      <c r="B42" s="719" t="s">
        <v>527</v>
      </c>
      <c r="C42" s="719" t="s">
        <v>527</v>
      </c>
      <c r="D42" s="719" t="s">
        <v>527</v>
      </c>
      <c r="E42" s="719" t="s">
        <v>527</v>
      </c>
      <c r="F42" s="719" t="s">
        <v>527</v>
      </c>
      <c r="G42" s="735" t="s">
        <v>527</v>
      </c>
      <c r="H42" s="719" t="s">
        <v>527</v>
      </c>
      <c r="I42" s="719" t="s">
        <v>527</v>
      </c>
    </row>
    <row r="43" spans="1:9">
      <c r="A43" s="718" t="s">
        <v>609</v>
      </c>
      <c r="B43" s="726">
        <v>-15424</v>
      </c>
      <c r="C43" s="727">
        <v>-106186</v>
      </c>
      <c r="D43" s="727">
        <v>-48511</v>
      </c>
      <c r="E43" s="727">
        <v>-157771</v>
      </c>
      <c r="F43" s="727">
        <v>-331647</v>
      </c>
      <c r="G43" s="736">
        <v>-331647</v>
      </c>
      <c r="H43" s="727">
        <v>-163000</v>
      </c>
      <c r="I43" s="727">
        <v>-154833</v>
      </c>
    </row>
    <row r="44" spans="1:9">
      <c r="A44" s="720" t="s">
        <v>610</v>
      </c>
      <c r="B44" s="721">
        <v>0</v>
      </c>
      <c r="C44" s="723">
        <v>0</v>
      </c>
      <c r="D44" s="723">
        <v>0</v>
      </c>
      <c r="E44" s="723">
        <v>0</v>
      </c>
      <c r="F44" s="723">
        <v>0</v>
      </c>
      <c r="G44" s="737">
        <v>0</v>
      </c>
      <c r="H44" s="723" t="s">
        <v>527</v>
      </c>
      <c r="I44" s="723" t="s">
        <v>527</v>
      </c>
    </row>
    <row r="45" spans="1:9">
      <c r="A45" s="720" t="s">
        <v>611</v>
      </c>
      <c r="B45" s="721">
        <v>0</v>
      </c>
      <c r="C45" s="723">
        <v>0</v>
      </c>
      <c r="D45" s="723">
        <v>0</v>
      </c>
      <c r="E45" s="723">
        <v>0</v>
      </c>
      <c r="F45" s="723">
        <v>0</v>
      </c>
      <c r="G45" s="737">
        <v>0</v>
      </c>
      <c r="H45" s="723" t="s">
        <v>527</v>
      </c>
      <c r="I45" s="723" t="s">
        <v>527</v>
      </c>
    </row>
    <row r="46" spans="1:9">
      <c r="A46" s="718" t="s">
        <v>527</v>
      </c>
      <c r="B46" s="719" t="s">
        <v>527</v>
      </c>
      <c r="C46" s="719" t="s">
        <v>527</v>
      </c>
      <c r="D46" s="719" t="s">
        <v>527</v>
      </c>
      <c r="E46" s="719" t="s">
        <v>527</v>
      </c>
      <c r="F46" s="719" t="s">
        <v>527</v>
      </c>
      <c r="G46" s="735" t="s">
        <v>527</v>
      </c>
      <c r="H46" s="719" t="s">
        <v>527</v>
      </c>
      <c r="I46" s="719" t="s">
        <v>527</v>
      </c>
    </row>
    <row r="47" spans="1:9">
      <c r="A47" s="720" t="s">
        <v>612</v>
      </c>
      <c r="B47" s="721">
        <v>115</v>
      </c>
      <c r="C47" s="723">
        <v>138</v>
      </c>
      <c r="D47" s="723">
        <v>198</v>
      </c>
      <c r="E47" s="723">
        <v>203</v>
      </c>
      <c r="F47" s="723">
        <v>213</v>
      </c>
      <c r="G47" s="737">
        <v>218</v>
      </c>
      <c r="H47" s="723" t="s">
        <v>527</v>
      </c>
      <c r="I47" s="723" t="s">
        <v>527</v>
      </c>
    </row>
    <row r="48" spans="1:9">
      <c r="A48" s="718" t="s">
        <v>613</v>
      </c>
      <c r="B48" s="725">
        <v>-0.13</v>
      </c>
      <c r="C48" s="719">
        <v>-0.77</v>
      </c>
      <c r="D48" s="719">
        <v>-0.25</v>
      </c>
      <c r="E48" s="719">
        <v>-0.78</v>
      </c>
      <c r="F48" s="719">
        <v>-1.56</v>
      </c>
      <c r="G48" s="735">
        <v>-1.54</v>
      </c>
      <c r="H48" s="719">
        <v>-1.1499999999999999</v>
      </c>
      <c r="I48" s="719">
        <v>-1.2</v>
      </c>
    </row>
    <row r="49" spans="1:9">
      <c r="A49" s="718" t="s">
        <v>614</v>
      </c>
      <c r="B49" s="725">
        <v>-0.13</v>
      </c>
      <c r="C49" s="719">
        <v>-0.77</v>
      </c>
      <c r="D49" s="719">
        <v>-0.25</v>
      </c>
      <c r="E49" s="719">
        <v>-0.78</v>
      </c>
      <c r="F49" s="719">
        <v>-1.56</v>
      </c>
      <c r="G49" s="735">
        <v>-1.54</v>
      </c>
      <c r="H49" s="719">
        <v>-1.1499999999999999</v>
      </c>
      <c r="I49" s="719">
        <v>-1.2</v>
      </c>
    </row>
    <row r="50" spans="1:9">
      <c r="A50" s="718" t="s">
        <v>615</v>
      </c>
      <c r="B50" s="725">
        <v>-0.13</v>
      </c>
      <c r="C50" s="719">
        <v>-0.77</v>
      </c>
      <c r="D50" s="719">
        <v>-0.25</v>
      </c>
      <c r="E50" s="719">
        <v>-0.78</v>
      </c>
      <c r="F50" s="719">
        <v>-1.56</v>
      </c>
      <c r="G50" s="735">
        <v>-1.54</v>
      </c>
      <c r="H50" s="719">
        <v>-0.5</v>
      </c>
      <c r="I50" s="719">
        <v>-0.42</v>
      </c>
    </row>
    <row r="51" spans="1:9">
      <c r="A51" s="718" t="s">
        <v>527</v>
      </c>
      <c r="B51" s="719" t="s">
        <v>527</v>
      </c>
      <c r="C51" s="719" t="s">
        <v>527</v>
      </c>
      <c r="D51" s="719" t="s">
        <v>527</v>
      </c>
      <c r="E51" s="719" t="s">
        <v>527</v>
      </c>
      <c r="F51" s="719" t="s">
        <v>527</v>
      </c>
      <c r="G51" s="735" t="s">
        <v>527</v>
      </c>
      <c r="H51" s="719" t="s">
        <v>527</v>
      </c>
      <c r="I51" s="719" t="s">
        <v>527</v>
      </c>
    </row>
    <row r="52" spans="1:9">
      <c r="A52" s="720" t="s">
        <v>616</v>
      </c>
      <c r="B52" s="721">
        <v>115</v>
      </c>
      <c r="C52" s="723">
        <v>138</v>
      </c>
      <c r="D52" s="723">
        <v>198</v>
      </c>
      <c r="E52" s="723">
        <v>203</v>
      </c>
      <c r="F52" s="723">
        <v>213</v>
      </c>
      <c r="G52" s="737">
        <v>218</v>
      </c>
      <c r="H52" s="723" t="s">
        <v>527</v>
      </c>
      <c r="I52" s="723" t="s">
        <v>527</v>
      </c>
    </row>
    <row r="53" spans="1:9">
      <c r="A53" s="718" t="s">
        <v>617</v>
      </c>
      <c r="B53" s="725">
        <v>-0.13</v>
      </c>
      <c r="C53" s="719">
        <v>-0.77</v>
      </c>
      <c r="D53" s="719">
        <v>-0.25</v>
      </c>
      <c r="E53" s="719">
        <v>-0.78</v>
      </c>
      <c r="F53" s="719">
        <v>-1.56</v>
      </c>
      <c r="G53" s="735">
        <v>-1.54</v>
      </c>
      <c r="H53" s="719">
        <v>-1.1499999999999999</v>
      </c>
      <c r="I53" s="719">
        <v>-1.2</v>
      </c>
    </row>
    <row r="54" spans="1:9">
      <c r="A54" s="718" t="s">
        <v>618</v>
      </c>
      <c r="B54" s="725">
        <v>-0.13</v>
      </c>
      <c r="C54" s="719">
        <v>-0.77</v>
      </c>
      <c r="D54" s="719">
        <v>-0.25</v>
      </c>
      <c r="E54" s="719">
        <v>-0.78</v>
      </c>
      <c r="F54" s="719">
        <v>-1.56</v>
      </c>
      <c r="G54" s="735">
        <v>-1.54</v>
      </c>
      <c r="H54" s="719">
        <v>-1.1499999999999999</v>
      </c>
      <c r="I54" s="719">
        <v>-1.2</v>
      </c>
    </row>
    <row r="55" spans="1:9">
      <c r="A55" s="718" t="s">
        <v>619</v>
      </c>
      <c r="B55" s="725">
        <v>-0.13</v>
      </c>
      <c r="C55" s="719">
        <v>-0.77</v>
      </c>
      <c r="D55" s="719">
        <v>-0.25</v>
      </c>
      <c r="E55" s="719">
        <v>-0.78</v>
      </c>
      <c r="F55" s="719">
        <v>-1.56</v>
      </c>
      <c r="G55" s="735">
        <v>-1.54</v>
      </c>
      <c r="H55" s="719">
        <v>-0.5</v>
      </c>
      <c r="I55" s="719">
        <v>-0.42</v>
      </c>
    </row>
    <row r="56" spans="1:9">
      <c r="A56" s="718" t="s">
        <v>527</v>
      </c>
      <c r="B56" s="719" t="s">
        <v>527</v>
      </c>
      <c r="C56" s="719" t="s">
        <v>527</v>
      </c>
      <c r="D56" s="719" t="s">
        <v>527</v>
      </c>
      <c r="E56" s="719" t="s">
        <v>527</v>
      </c>
      <c r="F56" s="719" t="s">
        <v>527</v>
      </c>
      <c r="G56" s="735" t="s">
        <v>527</v>
      </c>
      <c r="H56" s="719" t="s">
        <v>527</v>
      </c>
      <c r="I56" s="719" t="s">
        <v>527</v>
      </c>
    </row>
    <row r="57" spans="1:9">
      <c r="A57" s="718" t="s">
        <v>620</v>
      </c>
      <c r="B57" s="719" t="s">
        <v>527</v>
      </c>
      <c r="C57" s="719" t="s">
        <v>527</v>
      </c>
      <c r="D57" s="719" t="s">
        <v>527</v>
      </c>
      <c r="E57" s="719" t="s">
        <v>527</v>
      </c>
      <c r="F57" s="719" t="s">
        <v>527</v>
      </c>
      <c r="G57" s="735" t="s">
        <v>527</v>
      </c>
      <c r="H57" s="719" t="s">
        <v>527</v>
      </c>
      <c r="I57" s="719" t="s">
        <v>527</v>
      </c>
    </row>
    <row r="58" spans="1:9">
      <c r="A58" s="720" t="s">
        <v>621</v>
      </c>
      <c r="B58" s="721" t="s">
        <v>622</v>
      </c>
      <c r="C58" s="723" t="s">
        <v>622</v>
      </c>
      <c r="D58" s="723" t="s">
        <v>622</v>
      </c>
      <c r="E58" s="723" t="s">
        <v>622</v>
      </c>
      <c r="F58" s="723" t="s">
        <v>622</v>
      </c>
      <c r="G58" s="737" t="s">
        <v>527</v>
      </c>
      <c r="H58" s="723" t="s">
        <v>527</v>
      </c>
      <c r="I58" s="723" t="s">
        <v>527</v>
      </c>
    </row>
    <row r="59" spans="1:9">
      <c r="A59" s="720" t="s">
        <v>206</v>
      </c>
      <c r="B59" s="722">
        <v>-14017</v>
      </c>
      <c r="C59" s="724">
        <v>-34848</v>
      </c>
      <c r="D59" s="724">
        <v>-79379</v>
      </c>
      <c r="E59" s="724">
        <v>-145921</v>
      </c>
      <c r="F59" s="724">
        <v>-211279</v>
      </c>
      <c r="G59" s="738">
        <v>-211955</v>
      </c>
      <c r="H59" s="724">
        <v>-122750</v>
      </c>
      <c r="I59" s="724">
        <v>-115500</v>
      </c>
    </row>
    <row r="60" spans="1:9">
      <c r="A60" s="720" t="s">
        <v>623</v>
      </c>
      <c r="B60" s="721" t="s">
        <v>588</v>
      </c>
      <c r="C60" s="741">
        <v>-1660.22</v>
      </c>
      <c r="D60" s="723">
        <v>-713.13</v>
      </c>
      <c r="E60" s="723">
        <v>-662.01</v>
      </c>
      <c r="F60" s="723">
        <v>-490.51</v>
      </c>
      <c r="G60" s="737">
        <v>-492.08</v>
      </c>
      <c r="H60" s="723">
        <v>-144.69999999999999</v>
      </c>
      <c r="I60" s="723">
        <v>-69.44</v>
      </c>
    </row>
    <row r="61" spans="1:9">
      <c r="A61" s="720" t="s">
        <v>624</v>
      </c>
      <c r="B61" s="721" t="s">
        <v>588</v>
      </c>
      <c r="C61" s="723" t="s">
        <v>588</v>
      </c>
      <c r="D61" s="724">
        <v>-83379</v>
      </c>
      <c r="E61" s="724">
        <v>-153121</v>
      </c>
      <c r="F61" s="724">
        <v>-224279</v>
      </c>
      <c r="G61" s="738">
        <v>-173882</v>
      </c>
      <c r="H61" s="723" t="s">
        <v>527</v>
      </c>
      <c r="I61" s="723" t="s">
        <v>527</v>
      </c>
    </row>
    <row r="62" spans="1:9">
      <c r="A62" s="720" t="s">
        <v>362</v>
      </c>
      <c r="B62" s="722">
        <v>-15733</v>
      </c>
      <c r="C62" s="724">
        <v>-38687</v>
      </c>
      <c r="D62" s="724">
        <v>-85746</v>
      </c>
      <c r="E62" s="724">
        <v>-157754</v>
      </c>
      <c r="F62" s="724">
        <v>-232455</v>
      </c>
      <c r="G62" s="738">
        <v>-232455</v>
      </c>
      <c r="H62" s="724">
        <v>-127250</v>
      </c>
      <c r="I62" s="724">
        <v>-141040</v>
      </c>
    </row>
    <row r="63" spans="1:9">
      <c r="A63" s="720" t="s">
        <v>625</v>
      </c>
      <c r="B63" s="721" t="s">
        <v>588</v>
      </c>
      <c r="C63" s="723">
        <v>50.45</v>
      </c>
      <c r="D63" s="723">
        <v>73.55</v>
      </c>
      <c r="E63" s="723">
        <v>63.22</v>
      </c>
      <c r="F63" s="723">
        <v>52.18</v>
      </c>
      <c r="G63" s="737">
        <v>52.18</v>
      </c>
      <c r="H63" s="723">
        <v>68.569999999999993</v>
      </c>
      <c r="I63" s="723">
        <v>69.83</v>
      </c>
    </row>
    <row r="64" spans="1:9">
      <c r="A64" s="720" t="s">
        <v>217</v>
      </c>
      <c r="B64" s="721" t="s">
        <v>588</v>
      </c>
      <c r="C64" s="741">
        <v>-1843.12</v>
      </c>
      <c r="D64" s="723">
        <v>-770.34</v>
      </c>
      <c r="E64" s="723">
        <v>-715.7</v>
      </c>
      <c r="F64" s="723">
        <v>-539.67999999999995</v>
      </c>
      <c r="G64" s="737">
        <v>-539.67999999999995</v>
      </c>
      <c r="H64" s="723">
        <v>-150</v>
      </c>
      <c r="I64" s="723">
        <v>-84.79</v>
      </c>
    </row>
    <row r="65" spans="1:9">
      <c r="A65" s="720" t="s">
        <v>192</v>
      </c>
      <c r="B65" s="721" t="s">
        <v>588</v>
      </c>
      <c r="C65" s="741">
        <v>-5058.8900000000003</v>
      </c>
      <c r="D65" s="723">
        <v>-435.82</v>
      </c>
      <c r="E65" s="723">
        <v>-715.77</v>
      </c>
      <c r="F65" s="723">
        <v>-769.96</v>
      </c>
      <c r="G65" s="737">
        <v>-769.96</v>
      </c>
      <c r="H65" s="723">
        <v>-192.14</v>
      </c>
      <c r="I65" s="723">
        <v>-93.09</v>
      </c>
    </row>
    <row r="66" spans="1:9">
      <c r="A66" s="720" t="s">
        <v>626</v>
      </c>
      <c r="B66" s="721" t="s">
        <v>588</v>
      </c>
      <c r="C66" s="723" t="s">
        <v>588</v>
      </c>
      <c r="D66" s="741">
        <v>55103.96</v>
      </c>
      <c r="E66" s="741">
        <v>68030.86</v>
      </c>
      <c r="F66" s="741">
        <v>105830.47</v>
      </c>
      <c r="G66" s="742">
        <v>28771.5</v>
      </c>
      <c r="H66" s="723" t="s">
        <v>527</v>
      </c>
      <c r="I66" s="723" t="s">
        <v>527</v>
      </c>
    </row>
    <row r="67" spans="1:9">
      <c r="A67" s="720" t="s">
        <v>627</v>
      </c>
      <c r="B67" s="721">
        <v>0</v>
      </c>
      <c r="C67" s="723">
        <v>0</v>
      </c>
      <c r="D67" s="723">
        <v>0</v>
      </c>
      <c r="E67" s="723">
        <v>0</v>
      </c>
      <c r="F67" s="723">
        <v>0</v>
      </c>
      <c r="G67" s="737">
        <v>0</v>
      </c>
      <c r="H67" s="723" t="s">
        <v>527</v>
      </c>
      <c r="I67" s="723" t="s">
        <v>527</v>
      </c>
    </row>
    <row r="68" spans="1:9">
      <c r="A68" s="720" t="s">
        <v>628</v>
      </c>
      <c r="B68" s="721">
        <v>0</v>
      </c>
      <c r="C68" s="723">
        <v>0</v>
      </c>
      <c r="D68" s="723">
        <v>0</v>
      </c>
      <c r="E68" s="723">
        <v>0</v>
      </c>
      <c r="F68" s="723">
        <v>0</v>
      </c>
      <c r="G68" s="737">
        <v>0</v>
      </c>
      <c r="H68" s="723" t="s">
        <v>527</v>
      </c>
      <c r="I68" s="723" t="s">
        <v>527</v>
      </c>
    </row>
    <row r="69" spans="1:9">
      <c r="A69" s="720" t="s">
        <v>386</v>
      </c>
      <c r="B69" s="721" t="s">
        <v>588</v>
      </c>
      <c r="C69" s="723" t="s">
        <v>588</v>
      </c>
      <c r="D69" s="724">
        <v>4000</v>
      </c>
      <c r="E69" s="724">
        <v>7200</v>
      </c>
      <c r="F69" s="724">
        <v>13000</v>
      </c>
      <c r="G69" s="738">
        <v>9500</v>
      </c>
      <c r="H69" s="723" t="s">
        <v>527</v>
      </c>
      <c r="I69" s="723" t="s">
        <v>527</v>
      </c>
    </row>
    <row r="70" spans="1:9">
      <c r="A70" s="720" t="s">
        <v>629</v>
      </c>
      <c r="B70" s="721">
        <v>313</v>
      </c>
      <c r="C70" s="723">
        <v>776</v>
      </c>
      <c r="D70" s="723">
        <v>842</v>
      </c>
      <c r="E70" s="724">
        <v>1603</v>
      </c>
      <c r="F70" s="724">
        <v>2743</v>
      </c>
      <c r="G70" s="737" t="s">
        <v>527</v>
      </c>
      <c r="H70" s="723" t="s">
        <v>527</v>
      </c>
      <c r="I70" s="723" t="s">
        <v>527</v>
      </c>
    </row>
    <row r="71" spans="1:9">
      <c r="A71" s="733" t="s">
        <v>630</v>
      </c>
      <c r="B71" s="733" t="s">
        <v>631</v>
      </c>
      <c r="C71" s="734"/>
      <c r="D71" s="734"/>
      <c r="E71" s="734"/>
      <c r="F71" s="734"/>
      <c r="G71" s="734"/>
      <c r="H71" s="733" t="s">
        <v>527</v>
      </c>
      <c r="I71" s="733" t="s">
        <v>527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9D5DA-A404-42FD-B30E-32214E75D8A7}">
  <sheetPr>
    <tabColor theme="7" tint="0.79998168889431442"/>
  </sheetPr>
  <dimension ref="A1:F92"/>
  <sheetViews>
    <sheetView showGridLines="0" topLeftCell="A73" workbookViewId="0">
      <selection activeCell="F81" sqref="F81"/>
    </sheetView>
  </sheetViews>
  <sheetFormatPr defaultColWidth="11" defaultRowHeight="14.25"/>
  <cols>
    <col min="1" max="1" width="40.5" customWidth="1"/>
  </cols>
  <sheetData>
    <row r="1" spans="1:6" ht="20.25">
      <c r="A1" s="709" t="s">
        <v>527</v>
      </c>
      <c r="B1" s="709" t="s">
        <v>527</v>
      </c>
      <c r="C1" s="709" t="s">
        <v>527</v>
      </c>
      <c r="D1" s="709" t="s">
        <v>527</v>
      </c>
      <c r="E1" s="711"/>
      <c r="F1" s="711"/>
    </row>
    <row r="2" spans="1:6" ht="20.25">
      <c r="A2" s="710" t="s">
        <v>632</v>
      </c>
      <c r="B2" s="711"/>
      <c r="C2" s="711"/>
      <c r="D2" s="711"/>
      <c r="E2" s="711"/>
      <c r="F2" s="711"/>
    </row>
    <row r="3" spans="1:6">
      <c r="A3" s="712" t="s">
        <v>527</v>
      </c>
      <c r="B3" s="712" t="s">
        <v>527</v>
      </c>
      <c r="C3" s="712" t="s">
        <v>527</v>
      </c>
      <c r="D3" s="712" t="s">
        <v>527</v>
      </c>
      <c r="E3" s="712" t="s">
        <v>527</v>
      </c>
      <c r="F3" s="712" t="s">
        <v>527</v>
      </c>
    </row>
    <row r="4" spans="1:6">
      <c r="A4" s="713" t="s">
        <v>564</v>
      </c>
      <c r="B4" s="714" t="s">
        <v>565</v>
      </c>
      <c r="C4" s="714" t="s">
        <v>566</v>
      </c>
      <c r="D4" s="714" t="s">
        <v>567</v>
      </c>
      <c r="E4" s="714" t="s">
        <v>568</v>
      </c>
      <c r="F4" s="714" t="s">
        <v>569</v>
      </c>
    </row>
    <row r="5" spans="1:6">
      <c r="A5" s="715" t="s">
        <v>573</v>
      </c>
      <c r="B5" s="717">
        <v>44196</v>
      </c>
      <c r="C5" s="717">
        <v>44561</v>
      </c>
      <c r="D5" s="717">
        <v>44926</v>
      </c>
      <c r="E5" s="717">
        <v>45291</v>
      </c>
      <c r="F5" s="717">
        <v>45657</v>
      </c>
    </row>
    <row r="6" spans="1:6">
      <c r="A6" s="718" t="s">
        <v>633</v>
      </c>
      <c r="B6" s="719" t="s">
        <v>527</v>
      </c>
      <c r="C6" s="719" t="s">
        <v>527</v>
      </c>
      <c r="D6" s="719" t="s">
        <v>527</v>
      </c>
      <c r="E6" s="719" t="s">
        <v>527</v>
      </c>
      <c r="F6" s="719" t="s">
        <v>527</v>
      </c>
    </row>
    <row r="7" spans="1:6">
      <c r="A7" s="720" t="s">
        <v>634</v>
      </c>
      <c r="B7" s="722">
        <v>36120</v>
      </c>
      <c r="C7" s="724">
        <v>522468</v>
      </c>
      <c r="D7" s="724">
        <v>355797</v>
      </c>
      <c r="E7" s="724">
        <v>355441</v>
      </c>
      <c r="F7" s="724">
        <v>340289</v>
      </c>
    </row>
    <row r="8" spans="1:6">
      <c r="A8" s="807" t="s">
        <v>635</v>
      </c>
      <c r="B8" s="722">
        <v>36120</v>
      </c>
      <c r="C8" s="724">
        <v>399025</v>
      </c>
      <c r="D8" s="724">
        <v>44367</v>
      </c>
      <c r="E8" s="724">
        <v>35665</v>
      </c>
      <c r="F8" s="724">
        <v>54393</v>
      </c>
    </row>
    <row r="9" spans="1:6">
      <c r="A9" s="720" t="s">
        <v>636</v>
      </c>
      <c r="B9" s="721">
        <v>0</v>
      </c>
      <c r="C9" s="724">
        <v>123443</v>
      </c>
      <c r="D9" s="724">
        <v>311430</v>
      </c>
      <c r="E9" s="724">
        <v>319776</v>
      </c>
      <c r="F9" s="724">
        <v>285896</v>
      </c>
    </row>
    <row r="10" spans="1:6">
      <c r="A10" s="720" t="s">
        <v>637</v>
      </c>
      <c r="B10" s="721">
        <v>390</v>
      </c>
      <c r="C10" s="723">
        <v>707</v>
      </c>
      <c r="D10" s="724">
        <v>3292</v>
      </c>
      <c r="E10" s="724">
        <v>11467</v>
      </c>
      <c r="F10" s="724">
        <v>6516</v>
      </c>
    </row>
    <row r="11" spans="1:6">
      <c r="A11" s="720" t="s">
        <v>638</v>
      </c>
      <c r="B11" s="721">
        <v>390</v>
      </c>
      <c r="C11" s="723">
        <v>707</v>
      </c>
      <c r="D11" s="724">
        <v>3292</v>
      </c>
      <c r="E11" s="724">
        <v>11467</v>
      </c>
      <c r="F11" s="724">
        <v>6516</v>
      </c>
    </row>
    <row r="12" spans="1:6">
      <c r="A12" s="720" t="s">
        <v>639</v>
      </c>
      <c r="B12" s="721">
        <v>0</v>
      </c>
      <c r="C12" s="723">
        <v>0</v>
      </c>
      <c r="D12" s="723">
        <v>0</v>
      </c>
      <c r="E12" s="723">
        <v>0</v>
      </c>
      <c r="F12" s="723">
        <v>0</v>
      </c>
    </row>
    <row r="13" spans="1:6">
      <c r="A13" s="720" t="s">
        <v>640</v>
      </c>
      <c r="B13" s="721" t="s">
        <v>588</v>
      </c>
      <c r="C13" s="723" t="s">
        <v>588</v>
      </c>
      <c r="D13" s="723" t="s">
        <v>588</v>
      </c>
      <c r="E13" s="723" t="s">
        <v>588</v>
      </c>
      <c r="F13" s="724">
        <v>3672</v>
      </c>
    </row>
    <row r="14" spans="1:6">
      <c r="A14" s="720" t="s">
        <v>641</v>
      </c>
      <c r="B14" s="721">
        <v>0</v>
      </c>
      <c r="C14" s="723">
        <v>0</v>
      </c>
      <c r="D14" s="723">
        <v>0</v>
      </c>
      <c r="E14" s="723">
        <v>0</v>
      </c>
      <c r="F14" s="723">
        <v>0</v>
      </c>
    </row>
    <row r="15" spans="1:6">
      <c r="A15" s="720" t="s">
        <v>642</v>
      </c>
      <c r="B15" s="721">
        <v>0</v>
      </c>
      <c r="C15" s="723">
        <v>0</v>
      </c>
      <c r="D15" s="723">
        <v>0</v>
      </c>
      <c r="E15" s="723">
        <v>0</v>
      </c>
      <c r="F15" s="723">
        <v>0</v>
      </c>
    </row>
    <row r="16" spans="1:6">
      <c r="A16" s="720" t="s">
        <v>643</v>
      </c>
      <c r="B16" s="721">
        <v>0</v>
      </c>
      <c r="C16" s="723">
        <v>0</v>
      </c>
      <c r="D16" s="723">
        <v>0</v>
      </c>
      <c r="E16" s="723">
        <v>0</v>
      </c>
      <c r="F16" s="723">
        <v>0</v>
      </c>
    </row>
    <row r="17" spans="1:6">
      <c r="A17" s="720" t="s">
        <v>644</v>
      </c>
      <c r="B17" s="721">
        <v>0</v>
      </c>
      <c r="C17" s="723">
        <v>0</v>
      </c>
      <c r="D17" s="723">
        <v>0</v>
      </c>
      <c r="E17" s="723">
        <v>0</v>
      </c>
      <c r="F17" s="723">
        <v>0</v>
      </c>
    </row>
    <row r="18" spans="1:6">
      <c r="A18" s="720" t="s">
        <v>645</v>
      </c>
      <c r="B18" s="721">
        <v>0</v>
      </c>
      <c r="C18" s="723">
        <v>0</v>
      </c>
      <c r="D18" s="723">
        <v>0</v>
      </c>
      <c r="E18" s="723">
        <v>0</v>
      </c>
      <c r="F18" s="723">
        <v>0</v>
      </c>
    </row>
    <row r="19" spans="1:6">
      <c r="A19" s="720" t="s">
        <v>646</v>
      </c>
      <c r="B19" s="722">
        <v>2069</v>
      </c>
      <c r="C19" s="724">
        <v>6442</v>
      </c>
      <c r="D19" s="724">
        <v>12539</v>
      </c>
      <c r="E19" s="724">
        <v>23081</v>
      </c>
      <c r="F19" s="724">
        <v>28325</v>
      </c>
    </row>
    <row r="20" spans="1:6">
      <c r="A20" s="720" t="s">
        <v>647</v>
      </c>
      <c r="B20" s="722">
        <v>2069</v>
      </c>
      <c r="C20" s="724">
        <v>6442</v>
      </c>
      <c r="D20" s="724">
        <v>12539</v>
      </c>
      <c r="E20" s="724">
        <v>23081</v>
      </c>
      <c r="F20" s="724">
        <v>28325</v>
      </c>
    </row>
    <row r="21" spans="1:6">
      <c r="A21" s="720" t="s">
        <v>648</v>
      </c>
      <c r="B21" s="721">
        <v>0</v>
      </c>
      <c r="C21" s="723">
        <v>0</v>
      </c>
      <c r="D21" s="723">
        <v>0</v>
      </c>
      <c r="E21" s="723">
        <v>0</v>
      </c>
      <c r="F21" s="723">
        <v>0</v>
      </c>
    </row>
    <row r="22" spans="1:6">
      <c r="A22" s="720" t="s">
        <v>649</v>
      </c>
      <c r="B22" s="721">
        <v>0</v>
      </c>
      <c r="C22" s="723">
        <v>0</v>
      </c>
      <c r="D22" s="723">
        <v>0</v>
      </c>
      <c r="E22" s="723">
        <v>0</v>
      </c>
      <c r="F22" s="723">
        <v>0</v>
      </c>
    </row>
    <row r="23" spans="1:6">
      <c r="A23" s="718" t="s">
        <v>650</v>
      </c>
      <c r="B23" s="726">
        <v>38579</v>
      </c>
      <c r="C23" s="727">
        <v>529617</v>
      </c>
      <c r="D23" s="727">
        <v>371628</v>
      </c>
      <c r="E23" s="727">
        <v>389989</v>
      </c>
      <c r="F23" s="727">
        <v>378802</v>
      </c>
    </row>
    <row r="24" spans="1:6">
      <c r="A24" s="720" t="s">
        <v>651</v>
      </c>
      <c r="B24" s="722">
        <v>16284</v>
      </c>
      <c r="C24" s="724">
        <v>22902</v>
      </c>
      <c r="D24" s="724">
        <v>29767</v>
      </c>
      <c r="E24" s="724">
        <v>42128</v>
      </c>
      <c r="F24" s="724">
        <v>62231</v>
      </c>
    </row>
    <row r="25" spans="1:6">
      <c r="A25" s="720" t="s">
        <v>652</v>
      </c>
      <c r="B25" s="722">
        <v>17987</v>
      </c>
      <c r="C25" s="724">
        <v>26347</v>
      </c>
      <c r="D25" s="724">
        <v>37228</v>
      </c>
      <c r="E25" s="724">
        <v>56727</v>
      </c>
      <c r="F25" s="724">
        <v>89843</v>
      </c>
    </row>
    <row r="26" spans="1:6">
      <c r="A26" s="720" t="s">
        <v>653</v>
      </c>
      <c r="B26" s="722">
        <v>1703</v>
      </c>
      <c r="C26" s="724">
        <v>3445</v>
      </c>
      <c r="D26" s="724">
        <v>7461</v>
      </c>
      <c r="E26" s="724">
        <v>14599</v>
      </c>
      <c r="F26" s="724">
        <v>27612</v>
      </c>
    </row>
    <row r="27" spans="1:6">
      <c r="A27" s="720" t="s">
        <v>654</v>
      </c>
      <c r="B27" s="721">
        <v>0</v>
      </c>
      <c r="C27" s="724">
        <v>80110</v>
      </c>
      <c r="D27" s="724">
        <v>182001</v>
      </c>
      <c r="E27" s="724">
        <v>100489</v>
      </c>
      <c r="F27" s="724">
        <v>23545</v>
      </c>
    </row>
    <row r="28" spans="1:6">
      <c r="A28" s="720" t="s">
        <v>655</v>
      </c>
      <c r="B28" s="721">
        <v>0</v>
      </c>
      <c r="C28" s="724">
        <v>80110</v>
      </c>
      <c r="D28" s="724">
        <v>182001</v>
      </c>
      <c r="E28" s="724">
        <v>100489</v>
      </c>
      <c r="F28" s="724">
        <v>23545</v>
      </c>
    </row>
    <row r="29" spans="1:6">
      <c r="A29" s="720" t="s">
        <v>656</v>
      </c>
      <c r="B29" s="722">
        <v>5615</v>
      </c>
      <c r="C29" s="724">
        <v>9399</v>
      </c>
      <c r="D29" s="724">
        <v>14596</v>
      </c>
      <c r="E29" s="724">
        <v>20974</v>
      </c>
      <c r="F29" s="724">
        <v>43810</v>
      </c>
    </row>
    <row r="30" spans="1:6">
      <c r="A30" s="766" t="s">
        <v>657</v>
      </c>
      <c r="B30" s="767">
        <v>2687</v>
      </c>
      <c r="C30" s="768">
        <v>5841</v>
      </c>
      <c r="D30" s="768">
        <v>9686</v>
      </c>
      <c r="E30" s="768">
        <v>15819</v>
      </c>
      <c r="F30" s="768">
        <v>39373</v>
      </c>
    </row>
    <row r="31" spans="1:6">
      <c r="A31" s="728" t="s">
        <v>658</v>
      </c>
      <c r="B31" s="729">
        <v>0</v>
      </c>
      <c r="C31" s="730">
        <v>0</v>
      </c>
      <c r="D31" s="730">
        <v>742</v>
      </c>
      <c r="E31" s="730">
        <v>742</v>
      </c>
      <c r="F31" s="731">
        <v>9904</v>
      </c>
    </row>
    <row r="32" spans="1:6">
      <c r="A32" s="728" t="s">
        <v>659</v>
      </c>
      <c r="B32" s="732">
        <v>2687</v>
      </c>
      <c r="C32" s="731">
        <v>5841</v>
      </c>
      <c r="D32" s="731">
        <v>8944</v>
      </c>
      <c r="E32" s="731">
        <v>15077</v>
      </c>
      <c r="F32" s="731">
        <v>29469</v>
      </c>
    </row>
    <row r="33" spans="1:6">
      <c r="A33" s="720" t="s">
        <v>648</v>
      </c>
      <c r="B33" s="721">
        <v>0</v>
      </c>
      <c r="C33" s="723">
        <v>0</v>
      </c>
      <c r="D33" s="723">
        <v>0</v>
      </c>
      <c r="E33" s="723">
        <v>0</v>
      </c>
      <c r="F33" s="723">
        <v>0</v>
      </c>
    </row>
    <row r="34" spans="1:6">
      <c r="A34" s="720" t="s">
        <v>660</v>
      </c>
      <c r="B34" s="722">
        <v>2928</v>
      </c>
      <c r="C34" s="724">
        <v>3558</v>
      </c>
      <c r="D34" s="724">
        <v>4910</v>
      </c>
      <c r="E34" s="724">
        <v>5155</v>
      </c>
      <c r="F34" s="724">
        <v>4437</v>
      </c>
    </row>
    <row r="35" spans="1:6">
      <c r="A35" s="718" t="s">
        <v>661</v>
      </c>
      <c r="B35" s="726">
        <v>21899</v>
      </c>
      <c r="C35" s="727">
        <v>112411</v>
      </c>
      <c r="D35" s="727">
        <v>226364</v>
      </c>
      <c r="E35" s="727">
        <v>163591</v>
      </c>
      <c r="F35" s="727">
        <v>129586</v>
      </c>
    </row>
    <row r="36" spans="1:6">
      <c r="A36" s="718" t="s">
        <v>274</v>
      </c>
      <c r="B36" s="726">
        <v>60478</v>
      </c>
      <c r="C36" s="727">
        <v>642028</v>
      </c>
      <c r="D36" s="727">
        <v>597992</v>
      </c>
      <c r="E36" s="727">
        <v>553580</v>
      </c>
      <c r="F36" s="727">
        <v>508388</v>
      </c>
    </row>
    <row r="37" spans="1:6">
      <c r="A37" s="718" t="s">
        <v>527</v>
      </c>
      <c r="B37" s="719" t="s">
        <v>527</v>
      </c>
      <c r="C37" s="719" t="s">
        <v>527</v>
      </c>
      <c r="D37" s="719" t="s">
        <v>527</v>
      </c>
      <c r="E37" s="719" t="s">
        <v>527</v>
      </c>
      <c r="F37" s="719" t="s">
        <v>527</v>
      </c>
    </row>
    <row r="38" spans="1:6">
      <c r="A38" s="718" t="s">
        <v>662</v>
      </c>
      <c r="B38" s="719" t="s">
        <v>527</v>
      </c>
      <c r="C38" s="719" t="s">
        <v>527</v>
      </c>
      <c r="D38" s="719" t="s">
        <v>527</v>
      </c>
      <c r="E38" s="719" t="s">
        <v>527</v>
      </c>
      <c r="F38" s="719" t="s">
        <v>527</v>
      </c>
    </row>
    <row r="39" spans="1:6">
      <c r="A39" s="720" t="s">
        <v>663</v>
      </c>
      <c r="B39" s="722">
        <v>1146</v>
      </c>
      <c r="C39" s="724">
        <v>4529</v>
      </c>
      <c r="D39" s="724">
        <v>9710</v>
      </c>
      <c r="E39" s="724">
        <v>23975</v>
      </c>
      <c r="F39" s="724">
        <v>21654</v>
      </c>
    </row>
    <row r="40" spans="1:6">
      <c r="A40" s="720" t="s">
        <v>664</v>
      </c>
      <c r="B40" s="721">
        <v>538</v>
      </c>
      <c r="C40" s="724">
        <v>1882</v>
      </c>
      <c r="D40" s="724">
        <v>3055</v>
      </c>
      <c r="E40" s="724">
        <v>5599</v>
      </c>
      <c r="F40" s="724">
        <v>5230</v>
      </c>
    </row>
    <row r="41" spans="1:6">
      <c r="A41" s="720" t="s">
        <v>665</v>
      </c>
      <c r="B41" s="721">
        <v>608</v>
      </c>
      <c r="C41" s="724">
        <v>2647</v>
      </c>
      <c r="D41" s="724">
        <v>6655</v>
      </c>
      <c r="E41" s="724">
        <v>18376</v>
      </c>
      <c r="F41" s="724">
        <v>16424</v>
      </c>
    </row>
    <row r="42" spans="1:6">
      <c r="A42" s="720" t="s">
        <v>666</v>
      </c>
      <c r="B42" s="721">
        <v>495</v>
      </c>
      <c r="C42" s="723">
        <v>568</v>
      </c>
      <c r="D42" s="723">
        <v>591</v>
      </c>
      <c r="E42" s="723">
        <v>710</v>
      </c>
      <c r="F42" s="724">
        <v>3366</v>
      </c>
    </row>
    <row r="43" spans="1:6">
      <c r="A43" s="720" t="s">
        <v>667</v>
      </c>
      <c r="B43" s="721">
        <v>0</v>
      </c>
      <c r="C43" s="723">
        <v>0</v>
      </c>
      <c r="D43" s="723">
        <v>0</v>
      </c>
      <c r="E43" s="723">
        <v>0</v>
      </c>
      <c r="F43" s="723">
        <v>0</v>
      </c>
    </row>
    <row r="44" spans="1:6">
      <c r="A44" s="720" t="s">
        <v>668</v>
      </c>
      <c r="B44" s="721">
        <v>495</v>
      </c>
      <c r="C44" s="723">
        <v>568</v>
      </c>
      <c r="D44" s="723">
        <v>591</v>
      </c>
      <c r="E44" s="723">
        <v>710</v>
      </c>
      <c r="F44" s="724">
        <v>3366</v>
      </c>
    </row>
    <row r="45" spans="1:6">
      <c r="A45" s="728" t="s">
        <v>669</v>
      </c>
      <c r="B45" s="729">
        <v>0</v>
      </c>
      <c r="C45" s="730">
        <v>0</v>
      </c>
      <c r="D45" s="730">
        <v>0</v>
      </c>
      <c r="E45" s="730">
        <v>0</v>
      </c>
      <c r="F45" s="730">
        <v>0</v>
      </c>
    </row>
    <row r="46" spans="1:6">
      <c r="A46" s="728" t="s">
        <v>670</v>
      </c>
      <c r="B46" s="729">
        <v>495</v>
      </c>
      <c r="C46" s="730">
        <v>568</v>
      </c>
      <c r="D46" s="730">
        <v>591</v>
      </c>
      <c r="E46" s="730">
        <v>710</v>
      </c>
      <c r="F46" s="731">
        <v>3366</v>
      </c>
    </row>
    <row r="47" spans="1:6">
      <c r="A47" s="720" t="s">
        <v>671</v>
      </c>
      <c r="B47" s="721">
        <v>240</v>
      </c>
      <c r="C47" s="724">
        <v>4594</v>
      </c>
      <c r="D47" s="724">
        <v>9859</v>
      </c>
      <c r="E47" s="724">
        <v>12479</v>
      </c>
      <c r="F47" s="724">
        <v>11065</v>
      </c>
    </row>
    <row r="48" spans="1:6">
      <c r="A48" s="720" t="s">
        <v>672</v>
      </c>
      <c r="B48" s="721">
        <v>240</v>
      </c>
      <c r="C48" s="724">
        <v>3430</v>
      </c>
      <c r="D48" s="724">
        <v>8729</v>
      </c>
      <c r="E48" s="724">
        <v>12087</v>
      </c>
      <c r="F48" s="724">
        <v>10678</v>
      </c>
    </row>
    <row r="49" spans="1:6">
      <c r="A49" s="720" t="s">
        <v>673</v>
      </c>
      <c r="B49" s="721">
        <v>0</v>
      </c>
      <c r="C49" s="723">
        <v>0</v>
      </c>
      <c r="D49" s="723">
        <v>0</v>
      </c>
      <c r="E49" s="723">
        <v>0</v>
      </c>
      <c r="F49" s="723">
        <v>0</v>
      </c>
    </row>
    <row r="50" spans="1:6">
      <c r="A50" s="720" t="s">
        <v>674</v>
      </c>
      <c r="B50" s="721">
        <v>0</v>
      </c>
      <c r="C50" s="724">
        <v>1164</v>
      </c>
      <c r="D50" s="724">
        <v>1130</v>
      </c>
      <c r="E50" s="723">
        <v>392</v>
      </c>
      <c r="F50" s="723">
        <v>387</v>
      </c>
    </row>
    <row r="51" spans="1:6">
      <c r="A51" s="718" t="s">
        <v>675</v>
      </c>
      <c r="B51" s="726">
        <v>1881</v>
      </c>
      <c r="C51" s="727">
        <v>9691</v>
      </c>
      <c r="D51" s="727">
        <v>20160</v>
      </c>
      <c r="E51" s="727">
        <v>37164</v>
      </c>
      <c r="F51" s="727">
        <v>36085</v>
      </c>
    </row>
    <row r="52" spans="1:6">
      <c r="A52" s="720" t="s">
        <v>676</v>
      </c>
      <c r="B52" s="722">
        <v>3776</v>
      </c>
      <c r="C52" s="724">
        <v>3643</v>
      </c>
      <c r="D52" s="724">
        <v>3459</v>
      </c>
      <c r="E52" s="724">
        <v>7395</v>
      </c>
      <c r="F52" s="724">
        <v>14359</v>
      </c>
    </row>
    <row r="53" spans="1:6">
      <c r="A53" s="720" t="s">
        <v>677</v>
      </c>
      <c r="B53" s="721">
        <v>0</v>
      </c>
      <c r="C53" s="723">
        <v>0</v>
      </c>
      <c r="D53" s="723">
        <v>0</v>
      </c>
      <c r="E53" s="723">
        <v>0</v>
      </c>
      <c r="F53" s="723">
        <v>0</v>
      </c>
    </row>
    <row r="54" spans="1:6">
      <c r="A54" s="720" t="s">
        <v>678</v>
      </c>
      <c r="B54" s="722">
        <v>3776</v>
      </c>
      <c r="C54" s="724">
        <v>3643</v>
      </c>
      <c r="D54" s="724">
        <v>3459</v>
      </c>
      <c r="E54" s="724">
        <v>7395</v>
      </c>
      <c r="F54" s="724">
        <v>14359</v>
      </c>
    </row>
    <row r="55" spans="1:6">
      <c r="A55" s="728" t="s">
        <v>679</v>
      </c>
      <c r="B55" s="729">
        <v>0</v>
      </c>
      <c r="C55" s="730">
        <v>0</v>
      </c>
      <c r="D55" s="730">
        <v>0</v>
      </c>
      <c r="E55" s="730">
        <v>0</v>
      </c>
      <c r="F55" s="730">
        <v>0</v>
      </c>
    </row>
    <row r="56" spans="1:6">
      <c r="A56" s="728" t="s">
        <v>680</v>
      </c>
      <c r="B56" s="732">
        <v>3776</v>
      </c>
      <c r="C56" s="731">
        <v>3643</v>
      </c>
      <c r="D56" s="731">
        <v>3459</v>
      </c>
      <c r="E56" s="731">
        <v>7395</v>
      </c>
      <c r="F56" s="731">
        <v>14359</v>
      </c>
    </row>
    <row r="57" spans="1:6">
      <c r="A57" s="720" t="s">
        <v>681</v>
      </c>
      <c r="B57" s="722">
        <v>1118</v>
      </c>
      <c r="C57" s="724">
        <v>37464</v>
      </c>
      <c r="D57" s="724">
        <v>6162</v>
      </c>
      <c r="E57" s="724">
        <v>24027</v>
      </c>
      <c r="F57" s="724">
        <v>74082</v>
      </c>
    </row>
    <row r="58" spans="1:6">
      <c r="A58" s="720" t="s">
        <v>682</v>
      </c>
      <c r="B58" s="721">
        <v>0</v>
      </c>
      <c r="C58" s="723">
        <v>0</v>
      </c>
      <c r="D58" s="723">
        <v>0</v>
      </c>
      <c r="E58" s="723">
        <v>0</v>
      </c>
      <c r="F58" s="723">
        <v>0</v>
      </c>
    </row>
    <row r="59" spans="1:6">
      <c r="A59" s="720" t="s">
        <v>683</v>
      </c>
      <c r="B59" s="721">
        <v>0</v>
      </c>
      <c r="C59" s="723">
        <v>0</v>
      </c>
      <c r="D59" s="723">
        <v>0</v>
      </c>
      <c r="E59" s="723">
        <v>0</v>
      </c>
      <c r="F59" s="723">
        <v>0</v>
      </c>
    </row>
    <row r="60" spans="1:6">
      <c r="A60" s="728" t="s">
        <v>684</v>
      </c>
      <c r="B60" s="729">
        <v>0</v>
      </c>
      <c r="C60" s="730">
        <v>0</v>
      </c>
      <c r="D60" s="730">
        <v>0</v>
      </c>
      <c r="E60" s="730">
        <v>0</v>
      </c>
      <c r="F60" s="730">
        <v>0</v>
      </c>
    </row>
    <row r="61" spans="1:6">
      <c r="A61" s="728" t="s">
        <v>685</v>
      </c>
      <c r="B61" s="729">
        <v>0</v>
      </c>
      <c r="C61" s="730">
        <v>0</v>
      </c>
      <c r="D61" s="730">
        <v>0</v>
      </c>
      <c r="E61" s="730">
        <v>0</v>
      </c>
      <c r="F61" s="730">
        <v>0</v>
      </c>
    </row>
    <row r="62" spans="1:6">
      <c r="A62" s="720" t="s">
        <v>672</v>
      </c>
      <c r="B62" s="722">
        <v>1118</v>
      </c>
      <c r="C62" s="724">
        <v>1533</v>
      </c>
      <c r="D62" s="724">
        <v>1201</v>
      </c>
      <c r="E62" s="723">
        <v>447</v>
      </c>
      <c r="F62" s="723">
        <v>0</v>
      </c>
    </row>
    <row r="63" spans="1:6">
      <c r="A63" s="720" t="s">
        <v>673</v>
      </c>
      <c r="B63" s="721">
        <v>0</v>
      </c>
      <c r="C63" s="724">
        <v>33962</v>
      </c>
      <c r="D63" s="724">
        <v>3819</v>
      </c>
      <c r="E63" s="724">
        <v>23004</v>
      </c>
      <c r="F63" s="724">
        <v>70688</v>
      </c>
    </row>
    <row r="64" spans="1:6">
      <c r="A64" s="720" t="s">
        <v>686</v>
      </c>
      <c r="B64" s="721">
        <v>0</v>
      </c>
      <c r="C64" s="724">
        <v>1969</v>
      </c>
      <c r="D64" s="724">
        <v>1142</v>
      </c>
      <c r="E64" s="723">
        <v>576</v>
      </c>
      <c r="F64" s="724">
        <v>3394</v>
      </c>
    </row>
    <row r="65" spans="1:6">
      <c r="A65" s="718" t="s">
        <v>687</v>
      </c>
      <c r="B65" s="726">
        <v>4894</v>
      </c>
      <c r="C65" s="727">
        <v>41107</v>
      </c>
      <c r="D65" s="727">
        <v>9621</v>
      </c>
      <c r="E65" s="727">
        <v>31422</v>
      </c>
      <c r="F65" s="727">
        <v>88441</v>
      </c>
    </row>
    <row r="66" spans="1:6">
      <c r="A66" s="718" t="s">
        <v>360</v>
      </c>
      <c r="B66" s="726">
        <v>6775</v>
      </c>
      <c r="C66" s="727">
        <v>50798</v>
      </c>
      <c r="D66" s="727">
        <v>29781</v>
      </c>
      <c r="E66" s="727">
        <v>68586</v>
      </c>
      <c r="F66" s="727">
        <v>124526</v>
      </c>
    </row>
    <row r="67" spans="1:6">
      <c r="A67" s="720" t="s">
        <v>688</v>
      </c>
      <c r="B67" s="721">
        <v>0</v>
      </c>
      <c r="C67" s="723">
        <v>0</v>
      </c>
      <c r="D67" s="723">
        <v>0</v>
      </c>
      <c r="E67" s="723">
        <v>0</v>
      </c>
      <c r="F67" s="723">
        <v>0</v>
      </c>
    </row>
    <row r="68" spans="1:6">
      <c r="A68" s="720" t="s">
        <v>689</v>
      </c>
      <c r="B68" s="722">
        <v>93308</v>
      </c>
      <c r="C68" s="724">
        <v>737169</v>
      </c>
      <c r="D68" s="724">
        <v>769868</v>
      </c>
      <c r="E68" s="724">
        <v>839034</v>
      </c>
      <c r="F68" s="724">
        <v>1067425</v>
      </c>
    </row>
    <row r="69" spans="1:6">
      <c r="A69" s="720" t="s">
        <v>690</v>
      </c>
      <c r="B69" s="721">
        <v>3</v>
      </c>
      <c r="C69" s="723">
        <v>19</v>
      </c>
      <c r="D69" s="723">
        <v>20</v>
      </c>
      <c r="E69" s="723">
        <v>20</v>
      </c>
      <c r="F69" s="723">
        <v>22</v>
      </c>
    </row>
    <row r="70" spans="1:6">
      <c r="A70" s="720" t="s">
        <v>691</v>
      </c>
      <c r="B70" s="722">
        <v>93305</v>
      </c>
      <c r="C70" s="724">
        <v>737150</v>
      </c>
      <c r="D70" s="724">
        <v>769848</v>
      </c>
      <c r="E70" s="724">
        <v>839014</v>
      </c>
      <c r="F70" s="724">
        <v>1067403</v>
      </c>
    </row>
    <row r="71" spans="1:6">
      <c r="A71" s="720" t="s">
        <v>692</v>
      </c>
      <c r="B71" s="721">
        <v>0</v>
      </c>
      <c r="C71" s="723">
        <v>0</v>
      </c>
      <c r="D71" s="723">
        <v>0</v>
      </c>
      <c r="E71" s="723">
        <v>0</v>
      </c>
      <c r="F71" s="723">
        <v>0</v>
      </c>
    </row>
    <row r="72" spans="1:6">
      <c r="A72" s="720" t="s">
        <v>693</v>
      </c>
      <c r="B72" s="722">
        <v>-39605</v>
      </c>
      <c r="C72" s="724">
        <v>-145791</v>
      </c>
      <c r="D72" s="724">
        <v>-194302</v>
      </c>
      <c r="E72" s="724">
        <v>-352073</v>
      </c>
      <c r="F72" s="724">
        <v>-683720</v>
      </c>
    </row>
    <row r="73" spans="1:6">
      <c r="A73" s="720" t="s">
        <v>694</v>
      </c>
      <c r="B73" s="721">
        <v>0</v>
      </c>
      <c r="C73" s="723">
        <v>-148</v>
      </c>
      <c r="D73" s="724">
        <v>-7355</v>
      </c>
      <c r="E73" s="724">
        <v>-1967</v>
      </c>
      <c r="F73" s="723">
        <v>157</v>
      </c>
    </row>
    <row r="74" spans="1:6">
      <c r="A74" s="718" t="s">
        <v>695</v>
      </c>
      <c r="B74" s="726">
        <v>53703</v>
      </c>
      <c r="C74" s="727">
        <v>591230</v>
      </c>
      <c r="D74" s="727">
        <v>568211</v>
      </c>
      <c r="E74" s="727">
        <v>484994</v>
      </c>
      <c r="F74" s="727">
        <v>383862</v>
      </c>
    </row>
    <row r="75" spans="1:6">
      <c r="A75" s="720" t="s">
        <v>696</v>
      </c>
      <c r="B75" s="721">
        <v>0</v>
      </c>
      <c r="C75" s="723">
        <v>0</v>
      </c>
      <c r="D75" s="723">
        <v>0</v>
      </c>
      <c r="E75" s="723">
        <v>0</v>
      </c>
      <c r="F75" s="723">
        <v>0</v>
      </c>
    </row>
    <row r="76" spans="1:6">
      <c r="A76" s="718" t="s">
        <v>697</v>
      </c>
      <c r="B76" s="726">
        <v>53703</v>
      </c>
      <c r="C76" s="727">
        <v>591230</v>
      </c>
      <c r="D76" s="727">
        <v>568211</v>
      </c>
      <c r="E76" s="727">
        <v>484994</v>
      </c>
      <c r="F76" s="727">
        <v>383862</v>
      </c>
    </row>
    <row r="77" spans="1:6">
      <c r="A77" s="718" t="s">
        <v>698</v>
      </c>
      <c r="B77" s="726">
        <v>60478</v>
      </c>
      <c r="C77" s="727">
        <v>642028</v>
      </c>
      <c r="D77" s="727">
        <v>597992</v>
      </c>
      <c r="E77" s="727">
        <v>553580</v>
      </c>
      <c r="F77" s="727">
        <v>508388</v>
      </c>
    </row>
    <row r="78" spans="1:6">
      <c r="A78" s="718" t="s">
        <v>527</v>
      </c>
      <c r="B78" s="719" t="s">
        <v>527</v>
      </c>
      <c r="C78" s="719" t="s">
        <v>527</v>
      </c>
      <c r="D78" s="719" t="s">
        <v>527</v>
      </c>
      <c r="E78" s="719" t="s">
        <v>527</v>
      </c>
      <c r="F78" s="719" t="s">
        <v>527</v>
      </c>
    </row>
    <row r="79" spans="1:6">
      <c r="A79" s="718" t="s">
        <v>620</v>
      </c>
      <c r="B79" s="719" t="s">
        <v>527</v>
      </c>
      <c r="C79" s="719" t="s">
        <v>527</v>
      </c>
      <c r="D79" s="719" t="s">
        <v>527</v>
      </c>
      <c r="E79" s="719" t="s">
        <v>527</v>
      </c>
      <c r="F79" s="719" t="s">
        <v>527</v>
      </c>
    </row>
    <row r="80" spans="1:6">
      <c r="A80" s="720" t="s">
        <v>621</v>
      </c>
      <c r="B80" s="721" t="s">
        <v>622</v>
      </c>
      <c r="C80" s="723" t="s">
        <v>622</v>
      </c>
      <c r="D80" s="723" t="s">
        <v>622</v>
      </c>
      <c r="E80" s="723" t="s">
        <v>622</v>
      </c>
      <c r="F80" s="723" t="s">
        <v>622</v>
      </c>
    </row>
    <row r="81" spans="1:6">
      <c r="A81" s="720" t="s">
        <v>699</v>
      </c>
      <c r="B81" s="721">
        <v>118</v>
      </c>
      <c r="C81" s="723">
        <v>196</v>
      </c>
      <c r="D81" s="723">
        <v>200</v>
      </c>
      <c r="E81" s="723">
        <v>207</v>
      </c>
      <c r="F81" s="723">
        <v>222</v>
      </c>
    </row>
    <row r="82" spans="1:6">
      <c r="A82" s="720" t="s">
        <v>700</v>
      </c>
      <c r="B82" s="721">
        <v>0</v>
      </c>
      <c r="C82" s="723">
        <v>0</v>
      </c>
      <c r="D82" s="723">
        <v>0</v>
      </c>
      <c r="E82" s="723">
        <v>0</v>
      </c>
      <c r="F82" s="723">
        <v>0</v>
      </c>
    </row>
    <row r="83" spans="1:6">
      <c r="A83" s="720" t="s">
        <v>701</v>
      </c>
      <c r="B83" s="721" t="s">
        <v>588</v>
      </c>
      <c r="C83" s="724">
        <v>6984</v>
      </c>
      <c r="D83" s="724">
        <v>6339</v>
      </c>
      <c r="E83" s="724">
        <v>14835</v>
      </c>
      <c r="F83" s="724">
        <v>21915</v>
      </c>
    </row>
    <row r="84" spans="1:6">
      <c r="A84" s="720" t="s">
        <v>702</v>
      </c>
      <c r="B84" s="721">
        <v>0</v>
      </c>
      <c r="C84" s="723">
        <v>0</v>
      </c>
      <c r="D84" s="723">
        <v>0</v>
      </c>
      <c r="E84" s="723">
        <v>0</v>
      </c>
      <c r="F84" s="723">
        <v>0</v>
      </c>
    </row>
    <row r="85" spans="1:6">
      <c r="A85" s="720" t="s">
        <v>703</v>
      </c>
      <c r="B85" s="721">
        <v>10</v>
      </c>
      <c r="C85" s="723">
        <v>6</v>
      </c>
      <c r="D85" s="723">
        <v>5</v>
      </c>
      <c r="E85" s="723">
        <v>0</v>
      </c>
      <c r="F85" s="723">
        <v>0</v>
      </c>
    </row>
    <row r="86" spans="1:6">
      <c r="A86" s="720" t="s">
        <v>704</v>
      </c>
      <c r="B86" s="721">
        <v>22</v>
      </c>
      <c r="C86" s="723">
        <v>22</v>
      </c>
      <c r="D86" s="723">
        <v>25</v>
      </c>
      <c r="E86" s="723">
        <v>22</v>
      </c>
      <c r="F86" s="723">
        <v>17</v>
      </c>
    </row>
    <row r="87" spans="1:6">
      <c r="A87" s="720" t="s">
        <v>520</v>
      </c>
      <c r="B87" s="722">
        <v>-31849</v>
      </c>
      <c r="C87" s="724">
        <v>-518257</v>
      </c>
      <c r="D87" s="724">
        <v>-351747</v>
      </c>
      <c r="E87" s="724">
        <v>-347336</v>
      </c>
      <c r="F87" s="724">
        <v>-322564</v>
      </c>
    </row>
    <row r="88" spans="1:6">
      <c r="A88" s="720" t="s">
        <v>705</v>
      </c>
      <c r="B88" s="721">
        <v>-59.31</v>
      </c>
      <c r="C88" s="723">
        <v>-87.66</v>
      </c>
      <c r="D88" s="723">
        <v>-61.9</v>
      </c>
      <c r="E88" s="723">
        <v>-71.62</v>
      </c>
      <c r="F88" s="723">
        <v>-84.03</v>
      </c>
    </row>
    <row r="89" spans="1:6">
      <c r="A89" s="720" t="s">
        <v>706</v>
      </c>
      <c r="B89" s="721">
        <v>88.28</v>
      </c>
      <c r="C89" s="723">
        <v>92.02</v>
      </c>
      <c r="D89" s="723">
        <v>94.94</v>
      </c>
      <c r="E89" s="723">
        <v>87.25</v>
      </c>
      <c r="F89" s="723">
        <v>73.45</v>
      </c>
    </row>
    <row r="90" spans="1:6">
      <c r="A90" s="720" t="s">
        <v>56</v>
      </c>
      <c r="B90" s="721">
        <v>20.51</v>
      </c>
      <c r="C90" s="723">
        <v>54.65</v>
      </c>
      <c r="D90" s="723">
        <v>18.43</v>
      </c>
      <c r="E90" s="723">
        <v>10.49</v>
      </c>
      <c r="F90" s="723">
        <v>10.5</v>
      </c>
    </row>
    <row r="91" spans="1:6">
      <c r="A91" s="720" t="s">
        <v>707</v>
      </c>
      <c r="B91" s="721" t="s">
        <v>588</v>
      </c>
      <c r="C91" s="723" t="s">
        <v>588</v>
      </c>
      <c r="D91" s="723">
        <v>202</v>
      </c>
      <c r="E91" s="723">
        <v>324</v>
      </c>
      <c r="F91" s="723">
        <v>407</v>
      </c>
    </row>
    <row r="92" spans="1:6">
      <c r="A92" s="733" t="s">
        <v>630</v>
      </c>
      <c r="B92" s="733" t="s">
        <v>631</v>
      </c>
      <c r="C92" s="734"/>
      <c r="D92" s="734"/>
      <c r="E92" s="734"/>
      <c r="F92" s="73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5A377-5502-4AA6-AE52-81DB6427356A}">
  <sheetPr>
    <tabColor theme="7" tint="0.79998168889431442"/>
  </sheetPr>
  <dimension ref="A1:G63"/>
  <sheetViews>
    <sheetView showGridLines="0" workbookViewId="0"/>
  </sheetViews>
  <sheetFormatPr defaultColWidth="11" defaultRowHeight="14.25"/>
  <cols>
    <col min="1" max="1" width="29.625" customWidth="1"/>
  </cols>
  <sheetData>
    <row r="1" spans="1:7" ht="15">
      <c r="A1" s="709" t="s">
        <v>527</v>
      </c>
      <c r="B1" s="709" t="s">
        <v>527</v>
      </c>
      <c r="C1" s="709" t="s">
        <v>527</v>
      </c>
      <c r="D1" s="709" t="s">
        <v>527</v>
      </c>
      <c r="E1" s="709" t="s">
        <v>527</v>
      </c>
      <c r="F1" s="709" t="s">
        <v>527</v>
      </c>
      <c r="G1" s="709" t="s">
        <v>527</v>
      </c>
    </row>
    <row r="2" spans="1:7" ht="20.25">
      <c r="A2" s="710" t="s">
        <v>632</v>
      </c>
      <c r="B2" s="711"/>
      <c r="C2" s="711"/>
      <c r="D2" s="711"/>
      <c r="E2" s="709"/>
      <c r="F2" s="709"/>
      <c r="G2" s="709"/>
    </row>
    <row r="3" spans="1:7">
      <c r="A3" s="712" t="s">
        <v>527</v>
      </c>
      <c r="B3" s="712" t="s">
        <v>527</v>
      </c>
      <c r="C3" s="712" t="s">
        <v>527</v>
      </c>
      <c r="D3" s="712" t="s">
        <v>527</v>
      </c>
      <c r="E3" s="712" t="s">
        <v>527</v>
      </c>
      <c r="F3" s="712" t="s">
        <v>527</v>
      </c>
      <c r="G3" s="712" t="s">
        <v>527</v>
      </c>
    </row>
    <row r="4" spans="1:7">
      <c r="A4" s="713" t="s">
        <v>564</v>
      </c>
      <c r="B4" s="714" t="s">
        <v>565</v>
      </c>
      <c r="C4" s="714" t="s">
        <v>566</v>
      </c>
      <c r="D4" s="714" t="s">
        <v>567</v>
      </c>
      <c r="E4" s="714" t="s">
        <v>568</v>
      </c>
      <c r="F4" s="714" t="s">
        <v>569</v>
      </c>
      <c r="G4" s="714" t="s">
        <v>570</v>
      </c>
    </row>
    <row r="5" spans="1:7">
      <c r="A5" s="715" t="s">
        <v>573</v>
      </c>
      <c r="B5" s="717">
        <v>44196</v>
      </c>
      <c r="C5" s="717">
        <v>44561</v>
      </c>
      <c r="D5" s="717">
        <v>44926</v>
      </c>
      <c r="E5" s="717">
        <v>45291</v>
      </c>
      <c r="F5" s="717">
        <v>45657</v>
      </c>
      <c r="G5" s="717">
        <v>45657</v>
      </c>
    </row>
    <row r="6" spans="1:7">
      <c r="A6" s="718" t="s">
        <v>708</v>
      </c>
      <c r="B6" s="719" t="s">
        <v>527</v>
      </c>
      <c r="C6" s="719" t="s">
        <v>527</v>
      </c>
      <c r="D6" s="719" t="s">
        <v>527</v>
      </c>
      <c r="E6" s="719" t="s">
        <v>527</v>
      </c>
      <c r="F6" s="719" t="s">
        <v>527</v>
      </c>
      <c r="G6" s="735" t="s">
        <v>527</v>
      </c>
    </row>
    <row r="7" spans="1:7">
      <c r="A7" s="720" t="s">
        <v>709</v>
      </c>
      <c r="B7" s="722">
        <v>-15424</v>
      </c>
      <c r="C7" s="724">
        <v>-106186</v>
      </c>
      <c r="D7" s="724">
        <v>-48511</v>
      </c>
      <c r="E7" s="724">
        <v>-157771</v>
      </c>
      <c r="F7" s="724">
        <v>-331647</v>
      </c>
      <c r="G7" s="738">
        <v>-331647</v>
      </c>
    </row>
    <row r="8" spans="1:7">
      <c r="A8" s="720" t="s">
        <v>710</v>
      </c>
      <c r="B8" s="722">
        <v>1438</v>
      </c>
      <c r="C8" s="724">
        <v>3076</v>
      </c>
      <c r="D8" s="724">
        <v>5604</v>
      </c>
      <c r="E8" s="724">
        <v>10375</v>
      </c>
      <c r="F8" s="724">
        <v>18654</v>
      </c>
      <c r="G8" s="738">
        <v>18654</v>
      </c>
    </row>
    <row r="9" spans="1:7">
      <c r="A9" s="720" t="s">
        <v>711</v>
      </c>
      <c r="B9" s="722">
        <v>1140</v>
      </c>
      <c r="C9" s="724">
        <v>75053</v>
      </c>
      <c r="D9" s="723">
        <v>435</v>
      </c>
      <c r="E9" s="724">
        <v>83062</v>
      </c>
      <c r="F9" s="724">
        <v>223665</v>
      </c>
      <c r="G9" s="738">
        <v>223665</v>
      </c>
    </row>
    <row r="10" spans="1:7">
      <c r="A10" s="720" t="s">
        <v>712</v>
      </c>
      <c r="B10" s="722">
        <v>1224</v>
      </c>
      <c r="C10" s="724">
        <v>7748</v>
      </c>
      <c r="D10" s="724">
        <v>31456</v>
      </c>
      <c r="E10" s="724">
        <v>69743</v>
      </c>
      <c r="F10" s="724">
        <v>106878</v>
      </c>
      <c r="G10" s="738">
        <v>106878</v>
      </c>
    </row>
    <row r="11" spans="1:7">
      <c r="A11" s="720" t="s">
        <v>713</v>
      </c>
      <c r="B11" s="721">
        <v>-84</v>
      </c>
      <c r="C11" s="724">
        <v>67305</v>
      </c>
      <c r="D11" s="724">
        <v>-31021</v>
      </c>
      <c r="E11" s="724">
        <v>13319</v>
      </c>
      <c r="F11" s="724">
        <v>116787</v>
      </c>
      <c r="G11" s="738">
        <v>116787</v>
      </c>
    </row>
    <row r="12" spans="1:7">
      <c r="A12" s="720" t="s">
        <v>714</v>
      </c>
      <c r="B12" s="721">
        <v>839</v>
      </c>
      <c r="C12" s="724">
        <v>1520</v>
      </c>
      <c r="D12" s="724">
        <v>-2226</v>
      </c>
      <c r="E12" s="724">
        <v>-14477</v>
      </c>
      <c r="F12" s="724">
        <v>-16355</v>
      </c>
      <c r="G12" s="738">
        <v>-16355</v>
      </c>
    </row>
    <row r="13" spans="1:7">
      <c r="A13" s="720" t="s">
        <v>715</v>
      </c>
      <c r="B13" s="721">
        <v>-290</v>
      </c>
      <c r="C13" s="723">
        <v>-317</v>
      </c>
      <c r="D13" s="724">
        <v>-1510</v>
      </c>
      <c r="E13" s="724">
        <v>-8175</v>
      </c>
      <c r="F13" s="724">
        <v>1609</v>
      </c>
      <c r="G13" s="738">
        <v>1609</v>
      </c>
    </row>
    <row r="14" spans="1:7">
      <c r="A14" s="720" t="s">
        <v>716</v>
      </c>
      <c r="B14" s="721">
        <v>96</v>
      </c>
      <c r="C14" s="723">
        <v>763</v>
      </c>
      <c r="D14" s="724">
        <v>1060</v>
      </c>
      <c r="E14" s="724">
        <v>2188</v>
      </c>
      <c r="F14" s="723">
        <v>-601</v>
      </c>
      <c r="G14" s="737">
        <v>-601</v>
      </c>
    </row>
    <row r="15" spans="1:7">
      <c r="A15" s="720" t="s">
        <v>717</v>
      </c>
      <c r="B15" s="722">
        <v>1033</v>
      </c>
      <c r="C15" s="724">
        <v>1074</v>
      </c>
      <c r="D15" s="724">
        <v>-1776</v>
      </c>
      <c r="E15" s="724">
        <v>-8490</v>
      </c>
      <c r="F15" s="724">
        <v>-17363</v>
      </c>
      <c r="G15" s="738">
        <v>-17363</v>
      </c>
    </row>
    <row r="16" spans="1:7">
      <c r="A16" s="720" t="s">
        <v>718</v>
      </c>
      <c r="B16" s="721" t="s">
        <v>588</v>
      </c>
      <c r="C16" s="723">
        <v>0</v>
      </c>
      <c r="D16" s="723">
        <v>0</v>
      </c>
      <c r="E16" s="723">
        <v>0</v>
      </c>
      <c r="F16" s="723">
        <v>0</v>
      </c>
      <c r="G16" s="737">
        <v>0</v>
      </c>
    </row>
    <row r="17" spans="1:7">
      <c r="A17" s="718" t="s">
        <v>708</v>
      </c>
      <c r="B17" s="726">
        <v>-12007</v>
      </c>
      <c r="C17" s="727">
        <v>-26537</v>
      </c>
      <c r="D17" s="727">
        <v>-44698</v>
      </c>
      <c r="E17" s="727">
        <v>-78811</v>
      </c>
      <c r="F17" s="727">
        <v>-105683</v>
      </c>
      <c r="G17" s="736">
        <v>-105683</v>
      </c>
    </row>
    <row r="18" spans="1:7">
      <c r="A18" s="718" t="s">
        <v>527</v>
      </c>
      <c r="B18" s="719" t="s">
        <v>527</v>
      </c>
      <c r="C18" s="719" t="s">
        <v>527</v>
      </c>
      <c r="D18" s="719" t="s">
        <v>527</v>
      </c>
      <c r="E18" s="719" t="s">
        <v>527</v>
      </c>
      <c r="F18" s="719" t="s">
        <v>527</v>
      </c>
      <c r="G18" s="735" t="s">
        <v>527</v>
      </c>
    </row>
    <row r="19" spans="1:7">
      <c r="A19" s="718" t="s">
        <v>719</v>
      </c>
      <c r="B19" s="719" t="s">
        <v>527</v>
      </c>
      <c r="C19" s="719" t="s">
        <v>527</v>
      </c>
      <c r="D19" s="719" t="s">
        <v>527</v>
      </c>
      <c r="E19" s="719" t="s">
        <v>527</v>
      </c>
      <c r="F19" s="719" t="s">
        <v>527</v>
      </c>
      <c r="G19" s="735" t="s">
        <v>527</v>
      </c>
    </row>
    <row r="20" spans="1:7">
      <c r="A20" s="720" t="s">
        <v>720</v>
      </c>
      <c r="B20" s="722">
        <v>-11676</v>
      </c>
      <c r="C20" s="724">
        <v>-10024</v>
      </c>
      <c r="D20" s="724">
        <v>-12564</v>
      </c>
      <c r="E20" s="724">
        <v>-19549</v>
      </c>
      <c r="F20" s="724">
        <v>-23569</v>
      </c>
      <c r="G20" s="738">
        <v>-23569</v>
      </c>
    </row>
    <row r="21" spans="1:7">
      <c r="A21" s="720" t="s">
        <v>721</v>
      </c>
      <c r="B21" s="721">
        <v>0</v>
      </c>
      <c r="C21" s="723">
        <v>0</v>
      </c>
      <c r="D21" s="723">
        <v>0</v>
      </c>
      <c r="E21" s="723">
        <v>0</v>
      </c>
      <c r="F21" s="723">
        <v>0</v>
      </c>
      <c r="G21" s="737">
        <v>0</v>
      </c>
    </row>
    <row r="22" spans="1:7">
      <c r="A22" s="728" t="s">
        <v>722</v>
      </c>
      <c r="B22" s="729">
        <v>0</v>
      </c>
      <c r="C22" s="730">
        <v>0</v>
      </c>
      <c r="D22" s="730">
        <v>0</v>
      </c>
      <c r="E22" s="730">
        <v>0</v>
      </c>
      <c r="F22" s="730">
        <v>0</v>
      </c>
      <c r="G22" s="739">
        <v>0</v>
      </c>
    </row>
    <row r="23" spans="1:7">
      <c r="A23" s="728" t="s">
        <v>723</v>
      </c>
      <c r="B23" s="729">
        <v>0</v>
      </c>
      <c r="C23" s="730">
        <v>0</v>
      </c>
      <c r="D23" s="730">
        <v>0</v>
      </c>
      <c r="E23" s="730">
        <v>0</v>
      </c>
      <c r="F23" s="730">
        <v>0</v>
      </c>
      <c r="G23" s="739">
        <v>0</v>
      </c>
    </row>
    <row r="24" spans="1:7">
      <c r="A24" s="720" t="s">
        <v>724</v>
      </c>
      <c r="B24" s="722">
        <v>-11676</v>
      </c>
      <c r="C24" s="724">
        <v>-10024</v>
      </c>
      <c r="D24" s="724">
        <v>-12564</v>
      </c>
      <c r="E24" s="724">
        <v>-19549</v>
      </c>
      <c r="F24" s="724">
        <v>-23569</v>
      </c>
      <c r="G24" s="738">
        <v>-23569</v>
      </c>
    </row>
    <row r="25" spans="1:7">
      <c r="A25" s="728" t="s">
        <v>725</v>
      </c>
      <c r="B25" s="732">
        <v>-10032</v>
      </c>
      <c r="C25" s="731">
        <v>-7783</v>
      </c>
      <c r="D25" s="731">
        <v>-9336</v>
      </c>
      <c r="E25" s="731">
        <v>-13703</v>
      </c>
      <c r="F25" s="731">
        <v>-21897</v>
      </c>
      <c r="G25" s="740">
        <v>-21897</v>
      </c>
    </row>
    <row r="26" spans="1:7">
      <c r="A26" s="728" t="s">
        <v>726</v>
      </c>
      <c r="B26" s="732">
        <v>-1644</v>
      </c>
      <c r="C26" s="731">
        <v>-2241</v>
      </c>
      <c r="D26" s="731">
        <v>-3228</v>
      </c>
      <c r="E26" s="731">
        <v>-5846</v>
      </c>
      <c r="F26" s="731">
        <v>-1672</v>
      </c>
      <c r="G26" s="740">
        <v>-1672</v>
      </c>
    </row>
    <row r="27" spans="1:7">
      <c r="A27" s="720" t="s">
        <v>727</v>
      </c>
      <c r="B27" s="721">
        <v>0</v>
      </c>
      <c r="C27" s="723">
        <v>0</v>
      </c>
      <c r="D27" s="724">
        <v>310045</v>
      </c>
      <c r="E27" s="724">
        <v>386760</v>
      </c>
      <c r="F27" s="723">
        <v>0</v>
      </c>
      <c r="G27" s="737">
        <v>0</v>
      </c>
    </row>
    <row r="28" spans="1:7">
      <c r="A28" s="720" t="s">
        <v>728</v>
      </c>
      <c r="B28" s="721">
        <v>0</v>
      </c>
      <c r="C28" s="723">
        <v>0</v>
      </c>
      <c r="D28" s="724">
        <v>310045</v>
      </c>
      <c r="E28" s="724">
        <v>386760</v>
      </c>
      <c r="F28" s="723">
        <v>0</v>
      </c>
      <c r="G28" s="737">
        <v>0</v>
      </c>
    </row>
    <row r="29" spans="1:7">
      <c r="A29" s="720" t="s">
        <v>729</v>
      </c>
      <c r="B29" s="721">
        <v>0</v>
      </c>
      <c r="C29" s="723">
        <v>0</v>
      </c>
      <c r="D29" s="723">
        <v>0</v>
      </c>
      <c r="E29" s="723">
        <v>0</v>
      </c>
      <c r="F29" s="723">
        <v>0</v>
      </c>
      <c r="G29" s="737">
        <v>0</v>
      </c>
    </row>
    <row r="30" spans="1:7">
      <c r="A30" s="720" t="s">
        <v>730</v>
      </c>
      <c r="B30" s="721">
        <v>0</v>
      </c>
      <c r="C30" s="723">
        <v>0</v>
      </c>
      <c r="D30" s="723">
        <v>-848</v>
      </c>
      <c r="E30" s="723">
        <v>0</v>
      </c>
      <c r="F30" s="724">
        <v>-15454</v>
      </c>
      <c r="G30" s="738">
        <v>-15454</v>
      </c>
    </row>
    <row r="31" spans="1:7">
      <c r="A31" s="720" t="s">
        <v>731</v>
      </c>
      <c r="B31" s="721">
        <v>0</v>
      </c>
      <c r="C31" s="723">
        <v>0</v>
      </c>
      <c r="D31" s="723">
        <v>0</v>
      </c>
      <c r="E31" s="723">
        <v>0</v>
      </c>
      <c r="F31" s="723">
        <v>0</v>
      </c>
      <c r="G31" s="737">
        <v>0</v>
      </c>
    </row>
    <row r="32" spans="1:7">
      <c r="A32" s="720" t="s">
        <v>732</v>
      </c>
      <c r="B32" s="721">
        <v>0</v>
      </c>
      <c r="C32" s="723">
        <v>0</v>
      </c>
      <c r="D32" s="723">
        <v>-848</v>
      </c>
      <c r="E32" s="723">
        <v>0</v>
      </c>
      <c r="F32" s="724">
        <v>-15454</v>
      </c>
      <c r="G32" s="738">
        <v>-15454</v>
      </c>
    </row>
    <row r="33" spans="1:7">
      <c r="A33" s="720" t="s">
        <v>733</v>
      </c>
      <c r="B33" s="721">
        <v>0</v>
      </c>
      <c r="C33" s="723">
        <v>0</v>
      </c>
      <c r="D33" s="723">
        <v>0</v>
      </c>
      <c r="E33" s="723">
        <v>0</v>
      </c>
      <c r="F33" s="723">
        <v>0</v>
      </c>
      <c r="G33" s="737">
        <v>0</v>
      </c>
    </row>
    <row r="34" spans="1:7">
      <c r="A34" s="720" t="s">
        <v>734</v>
      </c>
      <c r="B34" s="721">
        <v>0</v>
      </c>
      <c r="C34" s="724">
        <v>-203761</v>
      </c>
      <c r="D34" s="724">
        <v>-605689</v>
      </c>
      <c r="E34" s="724">
        <v>-298445</v>
      </c>
      <c r="F34" s="724">
        <v>121753</v>
      </c>
      <c r="G34" s="738">
        <v>121753</v>
      </c>
    </row>
    <row r="35" spans="1:7">
      <c r="A35" s="720" t="s">
        <v>718</v>
      </c>
      <c r="B35" s="721">
        <v>0</v>
      </c>
      <c r="C35" s="723">
        <v>0</v>
      </c>
      <c r="D35" s="723">
        <v>0</v>
      </c>
      <c r="E35" s="723">
        <v>0</v>
      </c>
      <c r="F35" s="723">
        <v>0</v>
      </c>
      <c r="G35" s="737">
        <v>0</v>
      </c>
    </row>
    <row r="36" spans="1:7">
      <c r="A36" s="718" t="s">
        <v>719</v>
      </c>
      <c r="B36" s="726">
        <v>-11676</v>
      </c>
      <c r="C36" s="727">
        <v>-213785</v>
      </c>
      <c r="D36" s="727">
        <v>-309056</v>
      </c>
      <c r="E36" s="727">
        <v>68766</v>
      </c>
      <c r="F36" s="727">
        <v>82730</v>
      </c>
      <c r="G36" s="736">
        <v>82730</v>
      </c>
    </row>
    <row r="37" spans="1:7">
      <c r="A37" s="718" t="s">
        <v>527</v>
      </c>
      <c r="B37" s="719" t="s">
        <v>527</v>
      </c>
      <c r="C37" s="719" t="s">
        <v>527</v>
      </c>
      <c r="D37" s="719" t="s">
        <v>527</v>
      </c>
      <c r="E37" s="719" t="s">
        <v>527</v>
      </c>
      <c r="F37" s="719" t="s">
        <v>527</v>
      </c>
      <c r="G37" s="735" t="s">
        <v>527</v>
      </c>
    </row>
    <row r="38" spans="1:7">
      <c r="A38" s="718" t="s">
        <v>735</v>
      </c>
      <c r="B38" s="719" t="s">
        <v>527</v>
      </c>
      <c r="C38" s="719" t="s">
        <v>527</v>
      </c>
      <c r="D38" s="719" t="s">
        <v>527</v>
      </c>
      <c r="E38" s="719" t="s">
        <v>527</v>
      </c>
      <c r="F38" s="719" t="s">
        <v>527</v>
      </c>
      <c r="G38" s="735" t="s">
        <v>527</v>
      </c>
    </row>
    <row r="39" spans="1:7">
      <c r="A39" s="720" t="s">
        <v>736</v>
      </c>
      <c r="B39" s="721">
        <v>0</v>
      </c>
      <c r="C39" s="723">
        <v>0</v>
      </c>
      <c r="D39" s="723">
        <v>0</v>
      </c>
      <c r="E39" s="723">
        <v>0</v>
      </c>
      <c r="F39" s="723">
        <v>0</v>
      </c>
      <c r="G39" s="737">
        <v>0</v>
      </c>
    </row>
    <row r="40" spans="1:7">
      <c r="A40" s="720" t="s">
        <v>737</v>
      </c>
      <c r="B40" s="721">
        <v>0</v>
      </c>
      <c r="C40" s="723">
        <v>0</v>
      </c>
      <c r="D40" s="723">
        <v>0</v>
      </c>
      <c r="E40" s="723">
        <v>0</v>
      </c>
      <c r="F40" s="723">
        <v>0</v>
      </c>
      <c r="G40" s="737">
        <v>0</v>
      </c>
    </row>
    <row r="41" spans="1:7">
      <c r="A41" s="720" t="s">
        <v>738</v>
      </c>
      <c r="B41" s="721">
        <v>0</v>
      </c>
      <c r="C41" s="723">
        <v>0</v>
      </c>
      <c r="D41" s="723">
        <v>0</v>
      </c>
      <c r="E41" s="723">
        <v>0</v>
      </c>
      <c r="F41" s="723">
        <v>0</v>
      </c>
      <c r="G41" s="737">
        <v>0</v>
      </c>
    </row>
    <row r="42" spans="1:7">
      <c r="A42" s="720" t="s">
        <v>739</v>
      </c>
      <c r="B42" s="721">
        <v>0</v>
      </c>
      <c r="C42" s="723">
        <v>0</v>
      </c>
      <c r="D42" s="723">
        <v>0</v>
      </c>
      <c r="E42" s="723">
        <v>0</v>
      </c>
      <c r="F42" s="723">
        <v>0</v>
      </c>
      <c r="G42" s="737">
        <v>0</v>
      </c>
    </row>
    <row r="43" spans="1:7">
      <c r="A43" s="720" t="s">
        <v>740</v>
      </c>
      <c r="B43" s="721">
        <v>0</v>
      </c>
      <c r="C43" s="723">
        <v>0</v>
      </c>
      <c r="D43" s="723">
        <v>0</v>
      </c>
      <c r="E43" s="723">
        <v>0</v>
      </c>
      <c r="F43" s="723">
        <v>0</v>
      </c>
      <c r="G43" s="737">
        <v>0</v>
      </c>
    </row>
    <row r="44" spans="1:7">
      <c r="A44" s="720" t="s">
        <v>741</v>
      </c>
      <c r="B44" s="721">
        <v>276</v>
      </c>
      <c r="C44" s="724">
        <v>4489</v>
      </c>
      <c r="D44" s="723">
        <v>-905</v>
      </c>
      <c r="E44" s="724">
        <v>1954</v>
      </c>
      <c r="F44" s="724">
        <v>41449</v>
      </c>
      <c r="G44" s="738">
        <v>41449</v>
      </c>
    </row>
    <row r="45" spans="1:7">
      <c r="A45" s="720" t="s">
        <v>742</v>
      </c>
      <c r="B45" s="721">
        <v>276</v>
      </c>
      <c r="C45" s="724">
        <v>4489</v>
      </c>
      <c r="D45" s="724">
        <v>1076</v>
      </c>
      <c r="E45" s="724">
        <v>1954</v>
      </c>
      <c r="F45" s="724">
        <v>41449</v>
      </c>
      <c r="G45" s="738">
        <v>41449</v>
      </c>
    </row>
    <row r="46" spans="1:7">
      <c r="A46" s="720" t="s">
        <v>743</v>
      </c>
      <c r="B46" s="721">
        <v>0</v>
      </c>
      <c r="C46" s="723">
        <v>0</v>
      </c>
      <c r="D46" s="724">
        <v>-1981</v>
      </c>
      <c r="E46" s="723">
        <v>0</v>
      </c>
      <c r="F46" s="723">
        <v>0</v>
      </c>
      <c r="G46" s="737">
        <v>0</v>
      </c>
    </row>
    <row r="47" spans="1:7">
      <c r="A47" s="720" t="s">
        <v>744</v>
      </c>
      <c r="B47" s="721">
        <v>0</v>
      </c>
      <c r="C47" s="724">
        <v>598738</v>
      </c>
      <c r="D47" s="724">
        <v>2001</v>
      </c>
      <c r="E47" s="723">
        <v>-193</v>
      </c>
      <c r="F47" s="723">
        <v>238</v>
      </c>
      <c r="G47" s="737">
        <v>238</v>
      </c>
    </row>
    <row r="48" spans="1:7">
      <c r="A48" s="720" t="s">
        <v>718</v>
      </c>
      <c r="B48" s="721">
        <v>0</v>
      </c>
      <c r="C48" s="723">
        <v>0</v>
      </c>
      <c r="D48" s="723">
        <v>0</v>
      </c>
      <c r="E48" s="723">
        <v>0</v>
      </c>
      <c r="F48" s="723">
        <v>0</v>
      </c>
      <c r="G48" s="737">
        <v>0</v>
      </c>
    </row>
    <row r="49" spans="1:7">
      <c r="A49" s="718" t="s">
        <v>735</v>
      </c>
      <c r="B49" s="725">
        <v>276</v>
      </c>
      <c r="C49" s="727">
        <v>603227</v>
      </c>
      <c r="D49" s="727">
        <v>1096</v>
      </c>
      <c r="E49" s="727">
        <v>1761</v>
      </c>
      <c r="F49" s="727">
        <v>41687</v>
      </c>
      <c r="G49" s="736">
        <v>41687</v>
      </c>
    </row>
    <row r="50" spans="1:7">
      <c r="A50" s="718" t="s">
        <v>527</v>
      </c>
      <c r="B50" s="719" t="s">
        <v>527</v>
      </c>
      <c r="C50" s="719" t="s">
        <v>527</v>
      </c>
      <c r="D50" s="719" t="s">
        <v>527</v>
      </c>
      <c r="E50" s="719" t="s">
        <v>527</v>
      </c>
      <c r="F50" s="719" t="s">
        <v>527</v>
      </c>
      <c r="G50" s="735" t="s">
        <v>527</v>
      </c>
    </row>
    <row r="51" spans="1:7">
      <c r="A51" s="720" t="s">
        <v>745</v>
      </c>
      <c r="B51" s="721">
        <v>0</v>
      </c>
      <c r="C51" s="723">
        <v>0</v>
      </c>
      <c r="D51" s="723">
        <v>0</v>
      </c>
      <c r="E51" s="723">
        <v>-2</v>
      </c>
      <c r="F51" s="723">
        <v>25</v>
      </c>
      <c r="G51" s="737">
        <v>25</v>
      </c>
    </row>
    <row r="52" spans="1:7">
      <c r="A52" s="718" t="s">
        <v>527</v>
      </c>
      <c r="B52" s="719" t="s">
        <v>527</v>
      </c>
      <c r="C52" s="719" t="s">
        <v>527</v>
      </c>
      <c r="D52" s="719" t="s">
        <v>527</v>
      </c>
      <c r="E52" s="719" t="s">
        <v>527</v>
      </c>
      <c r="F52" s="719" t="s">
        <v>527</v>
      </c>
      <c r="G52" s="735" t="s">
        <v>527</v>
      </c>
    </row>
    <row r="53" spans="1:7">
      <c r="A53" s="718" t="s">
        <v>286</v>
      </c>
      <c r="B53" s="726">
        <v>-23407</v>
      </c>
      <c r="C53" s="727">
        <v>362905</v>
      </c>
      <c r="D53" s="727">
        <v>-352658</v>
      </c>
      <c r="E53" s="727">
        <v>-8286</v>
      </c>
      <c r="F53" s="727">
        <v>18759</v>
      </c>
      <c r="G53" s="736">
        <v>18759</v>
      </c>
    </row>
    <row r="54" spans="1:7">
      <c r="A54" s="718" t="s">
        <v>527</v>
      </c>
      <c r="B54" s="719" t="s">
        <v>527</v>
      </c>
      <c r="C54" s="719" t="s">
        <v>527</v>
      </c>
      <c r="D54" s="719" t="s">
        <v>527</v>
      </c>
      <c r="E54" s="719" t="s">
        <v>527</v>
      </c>
      <c r="F54" s="719" t="s">
        <v>527</v>
      </c>
      <c r="G54" s="735" t="s">
        <v>527</v>
      </c>
    </row>
    <row r="55" spans="1:7">
      <c r="A55" s="718" t="s">
        <v>527</v>
      </c>
      <c r="B55" s="719" t="s">
        <v>527</v>
      </c>
      <c r="C55" s="719" t="s">
        <v>527</v>
      </c>
      <c r="D55" s="719" t="s">
        <v>527</v>
      </c>
      <c r="E55" s="719" t="s">
        <v>527</v>
      </c>
      <c r="F55" s="719" t="s">
        <v>527</v>
      </c>
      <c r="G55" s="735" t="s">
        <v>527</v>
      </c>
    </row>
    <row r="56" spans="1:7">
      <c r="A56" s="718" t="s">
        <v>620</v>
      </c>
      <c r="B56" s="719" t="s">
        <v>527</v>
      </c>
      <c r="C56" s="719" t="s">
        <v>527</v>
      </c>
      <c r="D56" s="719" t="s">
        <v>527</v>
      </c>
      <c r="E56" s="719" t="s">
        <v>527</v>
      </c>
      <c r="F56" s="719" t="s">
        <v>527</v>
      </c>
      <c r="G56" s="735" t="s">
        <v>527</v>
      </c>
    </row>
    <row r="57" spans="1:7">
      <c r="A57" s="720" t="s">
        <v>206</v>
      </c>
      <c r="B57" s="722">
        <v>-14017</v>
      </c>
      <c r="C57" s="724">
        <v>-34848</v>
      </c>
      <c r="D57" s="724">
        <v>-79379</v>
      </c>
      <c r="E57" s="724">
        <v>-145921</v>
      </c>
      <c r="F57" s="724">
        <v>-211279</v>
      </c>
      <c r="G57" s="738">
        <v>-211955</v>
      </c>
    </row>
    <row r="58" spans="1:7">
      <c r="A58" s="720" t="s">
        <v>746</v>
      </c>
      <c r="B58" s="721" t="s">
        <v>588</v>
      </c>
      <c r="C58" s="741">
        <v>-1660.22</v>
      </c>
      <c r="D58" s="723">
        <v>-713.13</v>
      </c>
      <c r="E58" s="723">
        <v>-662.01</v>
      </c>
      <c r="F58" s="723">
        <v>-490.51</v>
      </c>
      <c r="G58" s="737">
        <v>-492.08</v>
      </c>
    </row>
    <row r="59" spans="1:7">
      <c r="A59" s="720" t="s">
        <v>747</v>
      </c>
      <c r="B59" s="721" t="s">
        <v>588</v>
      </c>
      <c r="C59" s="723" t="s">
        <v>588</v>
      </c>
      <c r="D59" s="723">
        <v>848</v>
      </c>
      <c r="E59" s="723">
        <v>0</v>
      </c>
      <c r="F59" s="724">
        <v>15454</v>
      </c>
      <c r="G59" s="737" t="s">
        <v>527</v>
      </c>
    </row>
    <row r="60" spans="1:7">
      <c r="A60" s="720" t="s">
        <v>748</v>
      </c>
      <c r="B60" s="722">
        <v>-22039</v>
      </c>
      <c r="C60" s="724">
        <v>-34320</v>
      </c>
      <c r="D60" s="724">
        <v>-54034</v>
      </c>
      <c r="E60" s="724">
        <v>-92514</v>
      </c>
      <c r="F60" s="724">
        <v>-127580</v>
      </c>
      <c r="G60" s="738">
        <v>-127580</v>
      </c>
    </row>
    <row r="61" spans="1:7">
      <c r="A61" s="720" t="s">
        <v>749</v>
      </c>
      <c r="B61" s="721" t="s">
        <v>588</v>
      </c>
      <c r="C61" s="724">
        <v>-34320</v>
      </c>
      <c r="D61" s="724">
        <v>-54034</v>
      </c>
      <c r="E61" s="724">
        <v>-92514</v>
      </c>
      <c r="F61" s="724">
        <v>-127580</v>
      </c>
      <c r="G61" s="738">
        <v>-127580</v>
      </c>
    </row>
    <row r="62" spans="1:7">
      <c r="A62" s="720" t="s">
        <v>750</v>
      </c>
      <c r="B62" s="721">
        <v>-0.19</v>
      </c>
      <c r="C62" s="723">
        <v>-0.25</v>
      </c>
      <c r="D62" s="723">
        <v>-0.27</v>
      </c>
      <c r="E62" s="723">
        <v>-0.46</v>
      </c>
      <c r="F62" s="723">
        <v>-0.6</v>
      </c>
      <c r="G62" s="737">
        <v>-0.6</v>
      </c>
    </row>
    <row r="63" spans="1:7">
      <c r="A63" s="733" t="s">
        <v>630</v>
      </c>
      <c r="B63" s="733" t="s">
        <v>631</v>
      </c>
      <c r="C63" s="734"/>
      <c r="D63" s="734"/>
      <c r="E63" s="734"/>
      <c r="F63" s="734"/>
      <c r="G63" s="73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AEBA-DBE0-4335-8B30-6CFAD04EBD4A}">
  <sheetPr>
    <tabColor theme="7" tint="0.79998168889431442"/>
  </sheetPr>
  <dimension ref="A1:H21"/>
  <sheetViews>
    <sheetView showGridLines="0" workbookViewId="0">
      <selection activeCell="A6" sqref="A6"/>
    </sheetView>
  </sheetViews>
  <sheetFormatPr defaultColWidth="11" defaultRowHeight="14.25"/>
  <cols>
    <col min="1" max="1" width="50.625" customWidth="1"/>
    <col min="2" max="8" width="11.625" customWidth="1"/>
    <col min="24" max="24" width="17.875" customWidth="1"/>
  </cols>
  <sheetData>
    <row r="1" spans="1:8" ht="20.25">
      <c r="A1" s="710" t="s">
        <v>751</v>
      </c>
      <c r="B1" s="711"/>
      <c r="C1" s="711"/>
      <c r="D1" s="711"/>
      <c r="E1" s="710" t="s">
        <v>527</v>
      </c>
      <c r="F1" s="710" t="s">
        <v>527</v>
      </c>
      <c r="G1" s="710" t="s">
        <v>527</v>
      </c>
      <c r="H1" s="710" t="s">
        <v>527</v>
      </c>
    </row>
    <row r="2" spans="1:8" ht="15">
      <c r="A2" s="743" t="s">
        <v>752</v>
      </c>
      <c r="B2" s="743"/>
      <c r="C2" s="743"/>
      <c r="D2" s="743"/>
      <c r="E2" s="743"/>
      <c r="F2" s="743"/>
      <c r="G2" s="743"/>
      <c r="H2" s="744"/>
    </row>
    <row r="3" spans="1:8">
      <c r="A3" s="713" t="s">
        <v>753</v>
      </c>
      <c r="B3" s="714" t="s">
        <v>754</v>
      </c>
      <c r="C3" s="714" t="s">
        <v>755</v>
      </c>
      <c r="D3" s="714" t="s">
        <v>756</v>
      </c>
      <c r="E3" s="714" t="s">
        <v>757</v>
      </c>
      <c r="F3" s="714" t="s">
        <v>758</v>
      </c>
      <c r="G3" s="714" t="s">
        <v>759</v>
      </c>
      <c r="H3" s="714" t="s">
        <v>760</v>
      </c>
    </row>
    <row r="4" spans="1:8">
      <c r="A4" s="715" t="s">
        <v>573</v>
      </c>
      <c r="B4" s="716">
        <v>44196</v>
      </c>
      <c r="C4" s="716">
        <v>44561</v>
      </c>
      <c r="D4" s="716">
        <v>44926</v>
      </c>
      <c r="E4" s="716">
        <v>45291</v>
      </c>
      <c r="F4" s="716">
        <v>45657</v>
      </c>
      <c r="G4" s="716">
        <v>46022</v>
      </c>
      <c r="H4" s="716">
        <v>46387</v>
      </c>
    </row>
    <row r="5" spans="1:8">
      <c r="A5" s="720" t="s">
        <v>761</v>
      </c>
      <c r="B5" s="721">
        <v>0</v>
      </c>
      <c r="C5" s="741">
        <v>2099</v>
      </c>
      <c r="D5" s="741">
        <v>11131</v>
      </c>
      <c r="E5" s="741">
        <v>22042</v>
      </c>
      <c r="F5" s="741">
        <v>43073</v>
      </c>
      <c r="G5" s="723" t="s">
        <v>527</v>
      </c>
      <c r="H5" s="723" t="s">
        <v>527</v>
      </c>
    </row>
    <row r="6" spans="1:8">
      <c r="A6" s="720" t="s">
        <v>762</v>
      </c>
      <c r="B6" s="721" t="s">
        <v>527</v>
      </c>
      <c r="C6" s="723" t="s">
        <v>527</v>
      </c>
      <c r="D6" s="723" t="s">
        <v>527</v>
      </c>
      <c r="E6" s="723" t="s">
        <v>527</v>
      </c>
      <c r="F6" s="741">
        <v>21594</v>
      </c>
      <c r="G6" s="723" t="s">
        <v>527</v>
      </c>
      <c r="H6" s="723" t="s">
        <v>527</v>
      </c>
    </row>
    <row r="7" spans="1:8">
      <c r="A7" s="720" t="s">
        <v>763</v>
      </c>
      <c r="B7" s="721" t="s">
        <v>527</v>
      </c>
      <c r="C7" s="723" t="s">
        <v>527</v>
      </c>
      <c r="D7" s="723" t="s">
        <v>527</v>
      </c>
      <c r="E7" s="723" t="s">
        <v>527</v>
      </c>
      <c r="F7" s="723">
        <v>50.13</v>
      </c>
      <c r="G7" s="723" t="s">
        <v>527</v>
      </c>
      <c r="H7" s="723" t="s">
        <v>527</v>
      </c>
    </row>
    <row r="8" spans="1:8">
      <c r="A8" s="720" t="s">
        <v>764</v>
      </c>
      <c r="B8" s="721" t="s">
        <v>527</v>
      </c>
      <c r="C8" s="723" t="s">
        <v>527</v>
      </c>
      <c r="D8" s="723" t="s">
        <v>527</v>
      </c>
      <c r="E8" s="723" t="s">
        <v>527</v>
      </c>
      <c r="F8" s="741">
        <v>21479</v>
      </c>
      <c r="G8" s="723" t="s">
        <v>527</v>
      </c>
      <c r="H8" s="723" t="s">
        <v>527</v>
      </c>
    </row>
    <row r="9" spans="1:8">
      <c r="A9" s="720" t="s">
        <v>763</v>
      </c>
      <c r="B9" s="721" t="s">
        <v>527</v>
      </c>
      <c r="C9" s="723" t="s">
        <v>527</v>
      </c>
      <c r="D9" s="723" t="s">
        <v>527</v>
      </c>
      <c r="E9" s="723" t="s">
        <v>527</v>
      </c>
      <c r="F9" s="723">
        <v>49.87</v>
      </c>
      <c r="G9" s="723" t="s">
        <v>527</v>
      </c>
      <c r="H9" s="723" t="s">
        <v>527</v>
      </c>
    </row>
    <row r="10" spans="1:8">
      <c r="A10" s="733" t="s">
        <v>630</v>
      </c>
      <c r="B10" s="733" t="s">
        <v>527</v>
      </c>
      <c r="C10" s="733" t="s">
        <v>527</v>
      </c>
      <c r="D10" s="733" t="s">
        <v>527</v>
      </c>
      <c r="E10" s="733" t="s">
        <v>527</v>
      </c>
      <c r="F10" s="733" t="s">
        <v>527</v>
      </c>
      <c r="G10" s="733" t="s">
        <v>527</v>
      </c>
      <c r="H10" s="733" t="s">
        <v>527</v>
      </c>
    </row>
    <row r="12" spans="1:8" ht="20.25">
      <c r="A12" s="710" t="s">
        <v>751</v>
      </c>
      <c r="B12" s="711"/>
      <c r="C12" s="711"/>
      <c r="D12" s="711"/>
      <c r="E12" s="710" t="s">
        <v>527</v>
      </c>
      <c r="F12" s="710" t="s">
        <v>527</v>
      </c>
      <c r="G12" s="710" t="s">
        <v>527</v>
      </c>
      <c r="H12" s="710" t="s">
        <v>527</v>
      </c>
    </row>
    <row r="13" spans="1:8" ht="15">
      <c r="A13" s="743" t="s">
        <v>752</v>
      </c>
      <c r="B13" s="743"/>
      <c r="C13" s="743"/>
      <c r="D13" s="743"/>
      <c r="E13" s="743"/>
      <c r="F13" s="743"/>
      <c r="G13" s="743"/>
      <c r="H13" s="744"/>
    </row>
    <row r="14" spans="1:8">
      <c r="A14" s="713" t="s">
        <v>753</v>
      </c>
      <c r="B14" s="714" t="s">
        <v>754</v>
      </c>
      <c r="C14" s="714" t="s">
        <v>755</v>
      </c>
      <c r="D14" s="714" t="s">
        <v>756</v>
      </c>
      <c r="E14" s="714" t="s">
        <v>757</v>
      </c>
      <c r="F14" s="714" t="s">
        <v>758</v>
      </c>
      <c r="G14" s="714" t="s">
        <v>759</v>
      </c>
      <c r="H14" s="714" t="s">
        <v>760</v>
      </c>
    </row>
    <row r="15" spans="1:8">
      <c r="A15" s="715" t="s">
        <v>573</v>
      </c>
      <c r="B15" s="716">
        <v>44196</v>
      </c>
      <c r="C15" s="716">
        <v>44561</v>
      </c>
      <c r="D15" s="716">
        <v>44926</v>
      </c>
      <c r="E15" s="716">
        <v>45291</v>
      </c>
      <c r="F15" s="716">
        <v>45657</v>
      </c>
      <c r="G15" s="716">
        <v>46022</v>
      </c>
      <c r="H15" s="716">
        <v>46387</v>
      </c>
    </row>
    <row r="16" spans="1:8">
      <c r="A16" s="720" t="s">
        <v>761</v>
      </c>
      <c r="B16" s="721">
        <v>0</v>
      </c>
      <c r="C16" s="741">
        <v>2099</v>
      </c>
      <c r="D16" s="741">
        <v>11131</v>
      </c>
      <c r="E16" s="741">
        <v>22042</v>
      </c>
      <c r="F16" s="741">
        <v>43073</v>
      </c>
      <c r="G16" s="723" t="s">
        <v>527</v>
      </c>
      <c r="H16" s="723" t="s">
        <v>527</v>
      </c>
    </row>
    <row r="17" spans="1:8">
      <c r="A17" s="720" t="s">
        <v>765</v>
      </c>
      <c r="B17" s="721" t="s">
        <v>527</v>
      </c>
      <c r="C17" s="741">
        <v>1899.1</v>
      </c>
      <c r="D17" s="741">
        <v>9127.42</v>
      </c>
      <c r="E17" s="741">
        <v>18735.7</v>
      </c>
      <c r="F17" s="741">
        <v>40714</v>
      </c>
      <c r="G17" s="723" t="s">
        <v>527</v>
      </c>
      <c r="H17" s="723" t="s">
        <v>527</v>
      </c>
    </row>
    <row r="18" spans="1:8">
      <c r="A18" s="720" t="s">
        <v>763</v>
      </c>
      <c r="B18" s="721" t="s">
        <v>527</v>
      </c>
      <c r="C18" s="723">
        <v>90.48</v>
      </c>
      <c r="D18" s="723">
        <v>82</v>
      </c>
      <c r="E18" s="723">
        <v>85</v>
      </c>
      <c r="F18" s="723">
        <v>94.52</v>
      </c>
      <c r="G18" s="723" t="s">
        <v>527</v>
      </c>
      <c r="H18" s="723" t="s">
        <v>527</v>
      </c>
    </row>
    <row r="19" spans="1:8">
      <c r="A19" s="720" t="s">
        <v>766</v>
      </c>
      <c r="B19" s="721" t="s">
        <v>527</v>
      </c>
      <c r="C19" s="723">
        <v>199.9</v>
      </c>
      <c r="D19" s="741">
        <v>2003.58</v>
      </c>
      <c r="E19" s="741">
        <v>3306.3</v>
      </c>
      <c r="F19" s="741">
        <v>2359</v>
      </c>
      <c r="G19" s="723" t="s">
        <v>527</v>
      </c>
      <c r="H19" s="723" t="s">
        <v>527</v>
      </c>
    </row>
    <row r="20" spans="1:8">
      <c r="A20" s="720" t="s">
        <v>763</v>
      </c>
      <c r="B20" s="721" t="s">
        <v>527</v>
      </c>
      <c r="C20" s="723">
        <v>9.52</v>
      </c>
      <c r="D20" s="723">
        <v>18</v>
      </c>
      <c r="E20" s="723">
        <v>15</v>
      </c>
      <c r="F20" s="723">
        <v>5.48</v>
      </c>
      <c r="G20" s="723" t="s">
        <v>527</v>
      </c>
      <c r="H20" s="723" t="s">
        <v>527</v>
      </c>
    </row>
    <row r="21" spans="1:8">
      <c r="A21" s="733" t="s">
        <v>630</v>
      </c>
      <c r="B21" s="733" t="s">
        <v>527</v>
      </c>
      <c r="C21" s="733" t="s">
        <v>527</v>
      </c>
      <c r="D21" s="733" t="s">
        <v>527</v>
      </c>
      <c r="E21" s="733" t="s">
        <v>527</v>
      </c>
      <c r="F21" s="733" t="s">
        <v>527</v>
      </c>
      <c r="G21" s="733" t="s">
        <v>527</v>
      </c>
      <c r="H21" s="733" t="s">
        <v>527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2802-C27F-46DD-A3C2-4C1421414C81}">
  <sheetPr>
    <tabColor theme="7" tint="0.79998168889431442"/>
  </sheetPr>
  <dimension ref="A1"/>
  <sheetViews>
    <sheetView showGridLines="0" workbookViewId="0"/>
  </sheetViews>
  <sheetFormatPr defaultColWidth="11" defaultRowHeight="14.25"/>
  <sheetData>
    <row r="1" spans="1:1">
      <c r="A1" t="s">
        <v>767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A7C8E-0C83-40C6-939A-6808A28B0317}">
  <sheetPr>
    <tabColor theme="7" tint="0.79998168889431442"/>
  </sheetPr>
  <dimension ref="A1:E25"/>
  <sheetViews>
    <sheetView showGridLines="0" topLeftCell="BI1" workbookViewId="0">
      <selection activeCell="J21" sqref="J21"/>
    </sheetView>
  </sheetViews>
  <sheetFormatPr defaultColWidth="11" defaultRowHeight="14.25"/>
  <cols>
    <col min="2" max="2" width="16.5" customWidth="1"/>
    <col min="3" max="3" width="5" customWidth="1"/>
    <col min="4" max="4" width="15.5" customWidth="1"/>
    <col min="5" max="5" width="55.875" customWidth="1"/>
  </cols>
  <sheetData>
    <row r="1" spans="1:5" ht="15">
      <c r="A1" s="1"/>
    </row>
    <row r="15" spans="1:5" ht="15.75">
      <c r="B15" s="43" t="s">
        <v>768</v>
      </c>
      <c r="C15" s="36"/>
      <c r="D15" s="36"/>
      <c r="E15" s="36"/>
    </row>
    <row r="16" spans="1:5" ht="15.75">
      <c r="B16" s="43" t="s">
        <v>769</v>
      </c>
      <c r="C16" s="43"/>
      <c r="D16" s="43" t="s">
        <v>770</v>
      </c>
      <c r="E16" s="43" t="s">
        <v>771</v>
      </c>
    </row>
    <row r="17" spans="2:5" ht="30" customHeight="1">
      <c r="B17" s="36" t="s">
        <v>772</v>
      </c>
      <c r="C17" s="36"/>
      <c r="D17" s="36" t="s">
        <v>773</v>
      </c>
      <c r="E17" s="821" t="s">
        <v>774</v>
      </c>
    </row>
    <row r="18" spans="2:5" ht="30" customHeight="1">
      <c r="B18" s="36" t="s">
        <v>775</v>
      </c>
      <c r="C18" s="36"/>
      <c r="D18" s="36" t="s">
        <v>776</v>
      </c>
      <c r="E18" s="821" t="s">
        <v>777</v>
      </c>
    </row>
    <row r="19" spans="2:5" ht="30" customHeight="1">
      <c r="B19" s="36" t="s">
        <v>778</v>
      </c>
      <c r="C19" s="36"/>
      <c r="D19" s="36" t="s">
        <v>779</v>
      </c>
      <c r="E19" s="821" t="s">
        <v>780</v>
      </c>
    </row>
    <row r="20" spans="2:5" ht="30" customHeight="1">
      <c r="B20" s="36" t="s">
        <v>781</v>
      </c>
      <c r="C20" s="36"/>
      <c r="D20" s="36" t="s">
        <v>779</v>
      </c>
      <c r="E20" s="821" t="s">
        <v>782</v>
      </c>
    </row>
    <row r="21" spans="2:5" ht="30" customHeight="1">
      <c r="B21" s="36" t="s">
        <v>783</v>
      </c>
      <c r="C21" s="36"/>
      <c r="D21" s="36" t="s">
        <v>779</v>
      </c>
      <c r="E21" s="821" t="s">
        <v>784</v>
      </c>
    </row>
    <row r="22" spans="2:5" ht="30" customHeight="1">
      <c r="B22" s="36" t="s">
        <v>785</v>
      </c>
      <c r="C22" s="36"/>
      <c r="D22" s="36" t="s">
        <v>779</v>
      </c>
      <c r="E22" s="821" t="s">
        <v>786</v>
      </c>
    </row>
    <row r="23" spans="2:5" ht="30" customHeight="1">
      <c r="B23" s="36" t="s">
        <v>787</v>
      </c>
      <c r="C23" s="36"/>
      <c r="D23" s="36" t="s">
        <v>779</v>
      </c>
      <c r="E23" s="821" t="s">
        <v>788</v>
      </c>
    </row>
    <row r="24" spans="2:5" ht="30" customHeight="1">
      <c r="B24" s="36" t="s">
        <v>789</v>
      </c>
      <c r="C24" s="36"/>
      <c r="D24" s="36" t="s">
        <v>779</v>
      </c>
      <c r="E24" s="821" t="s">
        <v>790</v>
      </c>
    </row>
    <row r="25" spans="2:5" ht="30" customHeight="1">
      <c r="B25" s="36" t="s">
        <v>791</v>
      </c>
      <c r="C25" s="36"/>
      <c r="D25" s="36" t="s">
        <v>779</v>
      </c>
      <c r="E25" s="821" t="s">
        <v>792</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42AD-F00C-421C-A8BB-6A914CEE5D7A}">
  <dimension ref="B2:N46"/>
  <sheetViews>
    <sheetView showGridLines="0" workbookViewId="0">
      <selection activeCell="Q21" sqref="Q21"/>
    </sheetView>
  </sheetViews>
  <sheetFormatPr defaultColWidth="11" defaultRowHeight="14.25"/>
  <cols>
    <col min="1" max="1" width="2.625" customWidth="1"/>
    <col min="2" max="2" width="25.5" bestFit="1" customWidth="1"/>
    <col min="3" max="3" width="26.375" bestFit="1" customWidth="1"/>
  </cols>
  <sheetData>
    <row r="2" spans="2:14" s="30" customFormat="1" ht="20.25" customHeight="1">
      <c r="B2" s="839" t="s">
        <v>793</v>
      </c>
    </row>
    <row r="4" spans="2:14" ht="15">
      <c r="B4" s="784" t="s">
        <v>794</v>
      </c>
      <c r="C4" s="784"/>
      <c r="D4" s="784" t="s">
        <v>795</v>
      </c>
      <c r="E4" s="784" t="s">
        <v>796</v>
      </c>
      <c r="F4" s="784" t="s">
        <v>797</v>
      </c>
      <c r="G4" s="784" t="s">
        <v>798</v>
      </c>
      <c r="H4" s="784" t="s">
        <v>799</v>
      </c>
      <c r="I4" s="784" t="s">
        <v>800</v>
      </c>
      <c r="J4" s="784" t="s">
        <v>565</v>
      </c>
      <c r="K4" s="784" t="s">
        <v>566</v>
      </c>
      <c r="L4" s="784" t="s">
        <v>567</v>
      </c>
      <c r="M4" s="784" t="s">
        <v>568</v>
      </c>
      <c r="N4" s="784" t="s">
        <v>569</v>
      </c>
    </row>
    <row r="5" spans="2:14" ht="15">
      <c r="B5" s="744"/>
      <c r="C5" s="744" t="s">
        <v>801</v>
      </c>
      <c r="D5" s="785" t="s">
        <v>588</v>
      </c>
      <c r="E5" s="785" t="s">
        <v>588</v>
      </c>
      <c r="F5" s="785" t="s">
        <v>588</v>
      </c>
      <c r="G5" s="785" t="s">
        <v>588</v>
      </c>
      <c r="H5" s="785" t="s">
        <v>588</v>
      </c>
      <c r="I5" s="785" t="s">
        <v>588</v>
      </c>
      <c r="J5" s="785" t="s">
        <v>588</v>
      </c>
      <c r="K5" s="785" t="s">
        <v>588</v>
      </c>
      <c r="L5" s="785" t="s">
        <v>588</v>
      </c>
      <c r="M5" s="785" t="s">
        <v>588</v>
      </c>
      <c r="N5" s="785" t="s">
        <v>588</v>
      </c>
    </row>
    <row r="6" spans="2:14" ht="15">
      <c r="B6" s="744"/>
      <c r="C6" s="744" t="s">
        <v>802</v>
      </c>
      <c r="D6" s="785" t="s">
        <v>588</v>
      </c>
      <c r="E6" s="785" t="s">
        <v>588</v>
      </c>
      <c r="F6" s="785" t="s">
        <v>588</v>
      </c>
      <c r="G6" s="785" t="s">
        <v>588</v>
      </c>
      <c r="H6" s="785" t="s">
        <v>588</v>
      </c>
      <c r="I6" s="785" t="s">
        <v>588</v>
      </c>
      <c r="J6" s="785" t="s">
        <v>588</v>
      </c>
      <c r="K6" s="785" t="s">
        <v>588</v>
      </c>
      <c r="L6" s="785" t="s">
        <v>588</v>
      </c>
      <c r="M6" s="785" t="s">
        <v>588</v>
      </c>
      <c r="N6" s="785" t="s">
        <v>588</v>
      </c>
    </row>
    <row r="7" spans="2:14" ht="15">
      <c r="B7" s="744"/>
      <c r="C7" s="744" t="s">
        <v>803</v>
      </c>
      <c r="D7" s="785" t="s">
        <v>588</v>
      </c>
      <c r="E7" s="785" t="s">
        <v>588</v>
      </c>
      <c r="F7" s="785" t="s">
        <v>588</v>
      </c>
      <c r="G7" s="785" t="s">
        <v>588</v>
      </c>
      <c r="H7" s="785" t="s">
        <v>588</v>
      </c>
      <c r="I7" s="785" t="s">
        <v>588</v>
      </c>
      <c r="J7" s="785" t="s">
        <v>588</v>
      </c>
      <c r="K7" s="785" t="s">
        <v>588</v>
      </c>
      <c r="L7" s="785" t="s">
        <v>588</v>
      </c>
      <c r="M7" s="785" t="s">
        <v>588</v>
      </c>
      <c r="N7" s="785" t="s">
        <v>588</v>
      </c>
    </row>
    <row r="8" spans="2:14" ht="15">
      <c r="B8" s="744"/>
      <c r="C8" s="744" t="s">
        <v>804</v>
      </c>
      <c r="D8" s="785" t="s">
        <v>588</v>
      </c>
      <c r="E8" s="785" t="s">
        <v>588</v>
      </c>
      <c r="F8" s="785" t="s">
        <v>588</v>
      </c>
      <c r="G8" s="785" t="s">
        <v>588</v>
      </c>
      <c r="H8" s="785" t="s">
        <v>588</v>
      </c>
      <c r="I8" s="785" t="s">
        <v>588</v>
      </c>
      <c r="J8" s="785" t="s">
        <v>588</v>
      </c>
      <c r="K8" s="785" t="s">
        <v>588</v>
      </c>
      <c r="L8" s="785" t="s">
        <v>588</v>
      </c>
      <c r="M8" s="785" t="s">
        <v>588</v>
      </c>
      <c r="N8" s="785" t="s">
        <v>588</v>
      </c>
    </row>
    <row r="9" spans="2:14" ht="15">
      <c r="B9" s="744"/>
      <c r="C9" s="744" t="s">
        <v>805</v>
      </c>
      <c r="D9" s="785">
        <v>557</v>
      </c>
      <c r="E9" s="785">
        <v>354</v>
      </c>
      <c r="F9" s="785">
        <v>134</v>
      </c>
      <c r="G9" s="785">
        <v>125</v>
      </c>
      <c r="H9" s="785">
        <v>105</v>
      </c>
      <c r="I9" s="785">
        <v>98</v>
      </c>
      <c r="J9" s="785">
        <v>73</v>
      </c>
      <c r="K9" s="785">
        <v>78</v>
      </c>
      <c r="L9" s="785">
        <v>78</v>
      </c>
      <c r="M9" s="785">
        <v>71</v>
      </c>
      <c r="N9" s="785" t="s">
        <v>588</v>
      </c>
    </row>
    <row r="10" spans="2:14" ht="15">
      <c r="B10" s="744"/>
      <c r="C10" s="744" t="s">
        <v>806</v>
      </c>
      <c r="D10" s="786">
        <v>3989</v>
      </c>
      <c r="E10" s="786">
        <v>3526</v>
      </c>
      <c r="F10" s="786">
        <v>2700</v>
      </c>
      <c r="G10" s="786">
        <v>1355</v>
      </c>
      <c r="H10" s="786">
        <v>1479</v>
      </c>
      <c r="I10" s="786">
        <v>1385</v>
      </c>
      <c r="J10" s="786">
        <v>1385</v>
      </c>
      <c r="K10" s="786">
        <v>1325</v>
      </c>
      <c r="L10" s="786">
        <v>1059</v>
      </c>
      <c r="M10" s="785">
        <v>690</v>
      </c>
      <c r="N10" s="785" t="s">
        <v>588</v>
      </c>
    </row>
    <row r="11" spans="2:14" ht="15">
      <c r="B11" s="744"/>
      <c r="C11" s="744" t="s">
        <v>807</v>
      </c>
      <c r="D11" s="785">
        <v>85</v>
      </c>
      <c r="E11" s="785">
        <v>91</v>
      </c>
      <c r="F11" s="785">
        <v>88</v>
      </c>
      <c r="G11" s="785">
        <v>107</v>
      </c>
      <c r="H11" s="785">
        <v>99</v>
      </c>
      <c r="I11" s="785">
        <v>118</v>
      </c>
      <c r="J11" s="785">
        <v>118</v>
      </c>
      <c r="K11" s="785">
        <v>124</v>
      </c>
      <c r="L11" s="785">
        <v>139</v>
      </c>
      <c r="M11" s="785">
        <v>145</v>
      </c>
      <c r="N11" s="785" t="s">
        <v>588</v>
      </c>
    </row>
    <row r="12" spans="2:14" ht="15">
      <c r="B12" s="744"/>
      <c r="C12" s="744" t="s">
        <v>808</v>
      </c>
      <c r="D12" s="785">
        <v>52</v>
      </c>
      <c r="E12" s="785">
        <v>67</v>
      </c>
      <c r="F12" s="785">
        <v>66</v>
      </c>
      <c r="G12" s="785">
        <v>67</v>
      </c>
      <c r="H12" s="785">
        <v>64</v>
      </c>
      <c r="I12" s="785">
        <v>82</v>
      </c>
      <c r="J12" s="785">
        <v>56</v>
      </c>
      <c r="K12" s="785">
        <v>64</v>
      </c>
      <c r="L12" s="785">
        <v>91</v>
      </c>
      <c r="M12" s="785">
        <v>79</v>
      </c>
      <c r="N12" s="785" t="s">
        <v>588</v>
      </c>
    </row>
    <row r="13" spans="2:14" ht="15">
      <c r="B13" s="744"/>
      <c r="C13" s="744" t="s">
        <v>809</v>
      </c>
      <c r="D13" s="785" t="s">
        <v>588</v>
      </c>
      <c r="E13" s="785" t="s">
        <v>588</v>
      </c>
      <c r="F13" s="785" t="s">
        <v>588</v>
      </c>
      <c r="G13" s="785" t="s">
        <v>588</v>
      </c>
      <c r="H13" s="786">
        <v>4980</v>
      </c>
      <c r="I13" s="786">
        <v>5760</v>
      </c>
      <c r="J13" s="786">
        <v>9620</v>
      </c>
      <c r="K13" s="786">
        <v>12110</v>
      </c>
      <c r="L13" s="786">
        <v>13320</v>
      </c>
      <c r="M13" s="786">
        <v>14270</v>
      </c>
      <c r="N13" s="785" t="s">
        <v>588</v>
      </c>
    </row>
    <row r="14" spans="2:14" ht="15">
      <c r="B14" s="744"/>
      <c r="C14" s="744"/>
      <c r="D14" s="787" t="s">
        <v>527</v>
      </c>
      <c r="E14" s="787" t="s">
        <v>527</v>
      </c>
      <c r="F14" s="787" t="s">
        <v>527</v>
      </c>
      <c r="G14" s="787" t="s">
        <v>527</v>
      </c>
      <c r="H14" s="787" t="s">
        <v>527</v>
      </c>
      <c r="I14" s="787" t="s">
        <v>527</v>
      </c>
      <c r="J14" s="787" t="s">
        <v>527</v>
      </c>
      <c r="K14" s="787" t="s">
        <v>527</v>
      </c>
      <c r="L14" s="787" t="s">
        <v>527</v>
      </c>
      <c r="M14" s="787" t="s">
        <v>527</v>
      </c>
      <c r="N14" s="787" t="s">
        <v>527</v>
      </c>
    </row>
    <row r="15" spans="2:14" ht="15">
      <c r="B15" s="784" t="s">
        <v>810</v>
      </c>
      <c r="C15" s="784"/>
      <c r="D15" s="784"/>
      <c r="E15" s="784"/>
      <c r="F15" s="784"/>
      <c r="G15" s="784"/>
      <c r="H15" s="784"/>
      <c r="I15" s="784"/>
      <c r="J15" s="784"/>
      <c r="K15" s="784"/>
      <c r="L15" s="784"/>
      <c r="M15" s="784"/>
      <c r="N15" s="784"/>
    </row>
    <row r="16" spans="2:14" ht="15">
      <c r="B16" s="744"/>
      <c r="C16" s="744" t="s">
        <v>801</v>
      </c>
      <c r="D16" s="787" t="s">
        <v>588</v>
      </c>
      <c r="E16" s="787" t="s">
        <v>588</v>
      </c>
      <c r="F16" s="787" t="s">
        <v>588</v>
      </c>
      <c r="G16" s="787" t="s">
        <v>588</v>
      </c>
      <c r="H16" s="787" t="s">
        <v>588</v>
      </c>
      <c r="I16" s="787" t="s">
        <v>588</v>
      </c>
      <c r="J16" s="787" t="s">
        <v>588</v>
      </c>
      <c r="K16" s="787" t="s">
        <v>588</v>
      </c>
      <c r="L16" s="787" t="s">
        <v>588</v>
      </c>
      <c r="M16" s="787" t="s">
        <v>588</v>
      </c>
      <c r="N16" s="787" t="s">
        <v>588</v>
      </c>
    </row>
    <row r="17" spans="2:14" ht="15">
      <c r="B17" s="744"/>
      <c r="C17" s="744" t="s">
        <v>802</v>
      </c>
      <c r="D17" s="787" t="s">
        <v>588</v>
      </c>
      <c r="E17" s="787" t="s">
        <v>588</v>
      </c>
      <c r="F17" s="787" t="s">
        <v>588</v>
      </c>
      <c r="G17" s="787" t="s">
        <v>588</v>
      </c>
      <c r="H17" s="787" t="s">
        <v>588</v>
      </c>
      <c r="I17" s="787" t="s">
        <v>588</v>
      </c>
      <c r="J17" s="787" t="s">
        <v>588</v>
      </c>
      <c r="K17" s="787" t="s">
        <v>588</v>
      </c>
      <c r="L17" s="787" t="s">
        <v>588</v>
      </c>
      <c r="M17" s="787" t="s">
        <v>588</v>
      </c>
      <c r="N17" s="787" t="s">
        <v>588</v>
      </c>
    </row>
    <row r="18" spans="2:14" ht="15">
      <c r="B18" s="744"/>
      <c r="C18" s="744" t="s">
        <v>803</v>
      </c>
      <c r="D18" s="787" t="s">
        <v>588</v>
      </c>
      <c r="E18" s="787" t="s">
        <v>588</v>
      </c>
      <c r="F18" s="787" t="s">
        <v>588</v>
      </c>
      <c r="G18" s="787" t="s">
        <v>588</v>
      </c>
      <c r="H18" s="787" t="s">
        <v>588</v>
      </c>
      <c r="I18" s="787" t="s">
        <v>588</v>
      </c>
      <c r="J18" s="787" t="s">
        <v>588</v>
      </c>
      <c r="K18" s="787" t="s">
        <v>588</v>
      </c>
      <c r="L18" s="787" t="s">
        <v>588</v>
      </c>
      <c r="M18" s="787" t="s">
        <v>588</v>
      </c>
      <c r="N18" s="787" t="s">
        <v>588</v>
      </c>
    </row>
    <row r="19" spans="2:14" ht="15">
      <c r="B19" s="744"/>
      <c r="C19" s="744" t="s">
        <v>804</v>
      </c>
      <c r="D19" s="787" t="s">
        <v>588</v>
      </c>
      <c r="E19" s="787" t="s">
        <v>588</v>
      </c>
      <c r="F19" s="787" t="s">
        <v>588</v>
      </c>
      <c r="G19" s="787" t="s">
        <v>588</v>
      </c>
      <c r="H19" s="787" t="s">
        <v>588</v>
      </c>
      <c r="I19" s="787" t="s">
        <v>588</v>
      </c>
      <c r="J19" s="787" t="s">
        <v>588</v>
      </c>
      <c r="K19" s="787" t="s">
        <v>588</v>
      </c>
      <c r="L19" s="787" t="s">
        <v>588</v>
      </c>
      <c r="M19" s="787" t="s">
        <v>588</v>
      </c>
      <c r="N19" s="787" t="s">
        <v>588</v>
      </c>
    </row>
    <row r="20" spans="2:14" ht="15">
      <c r="B20" s="744"/>
      <c r="C20" s="744" t="s">
        <v>805</v>
      </c>
      <c r="D20" s="787" t="s">
        <v>588</v>
      </c>
      <c r="E20" s="788">
        <v>1433</v>
      </c>
      <c r="F20" s="788">
        <v>1156</v>
      </c>
      <c r="G20" s="788">
        <v>1077</v>
      </c>
      <c r="H20" s="787">
        <v>505</v>
      </c>
      <c r="I20" s="787">
        <v>460</v>
      </c>
      <c r="J20" s="787">
        <v>262</v>
      </c>
      <c r="K20" s="787">
        <v>221</v>
      </c>
      <c r="L20" s="787">
        <v>183</v>
      </c>
      <c r="M20" s="787">
        <v>150</v>
      </c>
      <c r="N20" s="787" t="s">
        <v>588</v>
      </c>
    </row>
    <row r="21" spans="2:14" ht="15">
      <c r="B21" s="744"/>
      <c r="C21" s="744" t="s">
        <v>806</v>
      </c>
      <c r="D21" s="787" t="s">
        <v>588</v>
      </c>
      <c r="E21" s="788">
        <v>1713</v>
      </c>
      <c r="F21" s="788">
        <v>1510</v>
      </c>
      <c r="G21" s="788">
        <v>1180</v>
      </c>
      <c r="H21" s="788">
        <v>1037</v>
      </c>
      <c r="I21" s="787">
        <v>933</v>
      </c>
      <c r="J21" s="787">
        <v>831</v>
      </c>
      <c r="K21" s="787">
        <v>809</v>
      </c>
      <c r="L21" s="787">
        <v>694</v>
      </c>
      <c r="M21" s="787">
        <v>695</v>
      </c>
      <c r="N21" s="787" t="s">
        <v>588</v>
      </c>
    </row>
    <row r="22" spans="2:14" ht="15">
      <c r="B22" s="744"/>
      <c r="C22" s="744" t="s">
        <v>807</v>
      </c>
      <c r="D22" s="787">
        <v>496</v>
      </c>
      <c r="E22" s="787">
        <v>154</v>
      </c>
      <c r="F22" s="787">
        <v>37</v>
      </c>
      <c r="G22" s="787">
        <v>139</v>
      </c>
      <c r="H22" s="787">
        <v>183</v>
      </c>
      <c r="I22" s="787">
        <v>275</v>
      </c>
      <c r="J22" s="787">
        <v>456</v>
      </c>
      <c r="K22" s="787">
        <v>429</v>
      </c>
      <c r="L22" s="787">
        <v>288</v>
      </c>
      <c r="M22" s="787">
        <v>393</v>
      </c>
      <c r="N22" s="787" t="s">
        <v>588</v>
      </c>
    </row>
    <row r="23" spans="2:14" ht="15">
      <c r="B23" s="744"/>
      <c r="C23" s="744" t="s">
        <v>808</v>
      </c>
      <c r="D23" s="788">
        <v>1461</v>
      </c>
      <c r="E23" s="788">
        <v>1384</v>
      </c>
      <c r="F23" s="788">
        <v>1519</v>
      </c>
      <c r="G23" s="787">
        <v>509</v>
      </c>
      <c r="H23" s="787">
        <v>684</v>
      </c>
      <c r="I23" s="787">
        <v>836</v>
      </c>
      <c r="J23" s="787">
        <v>911</v>
      </c>
      <c r="K23" s="788">
        <v>1823</v>
      </c>
      <c r="L23" s="788">
        <v>2492</v>
      </c>
      <c r="M23" s="788">
        <v>3423</v>
      </c>
      <c r="N23" s="787" t="s">
        <v>588</v>
      </c>
    </row>
    <row r="24" spans="2:14" ht="15">
      <c r="B24" s="744"/>
      <c r="C24" s="744" t="s">
        <v>809</v>
      </c>
      <c r="D24" s="787" t="s">
        <v>588</v>
      </c>
      <c r="E24" s="787" t="s">
        <v>588</v>
      </c>
      <c r="F24" s="787" t="s">
        <v>588</v>
      </c>
      <c r="G24" s="787" t="s">
        <v>588</v>
      </c>
      <c r="H24" s="788">
        <v>4710</v>
      </c>
      <c r="I24" s="788">
        <v>5500</v>
      </c>
      <c r="J24" s="788">
        <v>5270</v>
      </c>
      <c r="K24" s="788">
        <v>4070</v>
      </c>
      <c r="L24" s="788">
        <v>3140</v>
      </c>
      <c r="M24" s="788">
        <v>2790</v>
      </c>
      <c r="N24" s="787" t="s">
        <v>588</v>
      </c>
    </row>
    <row r="25" spans="2:14" ht="15">
      <c r="B25" s="744"/>
      <c r="C25" s="744"/>
      <c r="D25" s="787" t="s">
        <v>527</v>
      </c>
      <c r="E25" s="787" t="s">
        <v>527</v>
      </c>
      <c r="F25" s="787" t="s">
        <v>527</v>
      </c>
      <c r="G25" s="787" t="s">
        <v>527</v>
      </c>
      <c r="H25" s="787" t="s">
        <v>527</v>
      </c>
      <c r="I25" s="787" t="s">
        <v>527</v>
      </c>
      <c r="J25" s="787" t="s">
        <v>527</v>
      </c>
      <c r="K25" s="787" t="s">
        <v>527</v>
      </c>
      <c r="L25" s="787" t="s">
        <v>527</v>
      </c>
      <c r="M25" s="787" t="s">
        <v>527</v>
      </c>
      <c r="N25" s="787" t="s">
        <v>527</v>
      </c>
    </row>
    <row r="26" spans="2:14" ht="15">
      <c r="B26" s="784" t="s">
        <v>811</v>
      </c>
      <c r="C26" s="784"/>
      <c r="D26" s="784"/>
      <c r="E26" s="784"/>
      <c r="F26" s="784"/>
      <c r="G26" s="784"/>
      <c r="H26" s="784"/>
      <c r="I26" s="784"/>
      <c r="J26" s="784"/>
      <c r="K26" s="784"/>
      <c r="L26" s="784"/>
      <c r="M26" s="784"/>
      <c r="N26" s="784"/>
    </row>
    <row r="27" spans="2:14" ht="15">
      <c r="B27" s="744"/>
      <c r="C27" s="744" t="s">
        <v>801</v>
      </c>
      <c r="D27" s="787" t="s">
        <v>588</v>
      </c>
      <c r="E27" s="787" t="s">
        <v>588</v>
      </c>
      <c r="F27" s="787" t="s">
        <v>588</v>
      </c>
      <c r="G27" s="787" t="s">
        <v>588</v>
      </c>
      <c r="H27" s="787" t="s">
        <v>588</v>
      </c>
      <c r="I27" s="787" t="s">
        <v>588</v>
      </c>
      <c r="J27" s="787" t="s">
        <v>588</v>
      </c>
      <c r="K27" s="787" t="s">
        <v>588</v>
      </c>
      <c r="L27" s="787" t="s">
        <v>588</v>
      </c>
      <c r="M27" s="787" t="s">
        <v>588</v>
      </c>
      <c r="N27" s="787" t="s">
        <v>588</v>
      </c>
    </row>
    <row r="28" spans="2:14" ht="15">
      <c r="B28" s="744"/>
      <c r="C28" s="744" t="s">
        <v>802</v>
      </c>
      <c r="D28" s="787" t="s">
        <v>588</v>
      </c>
      <c r="E28" s="787" t="s">
        <v>588</v>
      </c>
      <c r="F28" s="787" t="s">
        <v>588</v>
      </c>
      <c r="G28" s="787" t="s">
        <v>588</v>
      </c>
      <c r="H28" s="787" t="s">
        <v>588</v>
      </c>
      <c r="I28" s="787" t="s">
        <v>588</v>
      </c>
      <c r="J28" s="787" t="s">
        <v>588</v>
      </c>
      <c r="K28" s="787" t="s">
        <v>588</v>
      </c>
      <c r="L28" s="787" t="s">
        <v>588</v>
      </c>
      <c r="M28" s="787" t="s">
        <v>588</v>
      </c>
      <c r="N28" s="787" t="s">
        <v>588</v>
      </c>
    </row>
    <row r="29" spans="2:14" ht="15">
      <c r="B29" s="744"/>
      <c r="C29" s="744" t="s">
        <v>803</v>
      </c>
      <c r="D29" s="787" t="s">
        <v>588</v>
      </c>
      <c r="E29" s="787" t="s">
        <v>588</v>
      </c>
      <c r="F29" s="787" t="s">
        <v>588</v>
      </c>
      <c r="G29" s="787" t="s">
        <v>588</v>
      </c>
      <c r="H29" s="787" t="s">
        <v>588</v>
      </c>
      <c r="I29" s="787" t="s">
        <v>588</v>
      </c>
      <c r="J29" s="787" t="s">
        <v>588</v>
      </c>
      <c r="K29" s="787" t="s">
        <v>588</v>
      </c>
      <c r="L29" s="787" t="s">
        <v>588</v>
      </c>
      <c r="M29" s="787" t="s">
        <v>588</v>
      </c>
      <c r="N29" s="787" t="s">
        <v>588</v>
      </c>
    </row>
    <row r="30" spans="2:14" ht="15">
      <c r="B30" s="744"/>
      <c r="C30" s="744" t="s">
        <v>804</v>
      </c>
      <c r="D30" s="787" t="s">
        <v>588</v>
      </c>
      <c r="E30" s="787" t="s">
        <v>588</v>
      </c>
      <c r="F30" s="787" t="s">
        <v>588</v>
      </c>
      <c r="G30" s="787" t="s">
        <v>588</v>
      </c>
      <c r="H30" s="787" t="s">
        <v>588</v>
      </c>
      <c r="I30" s="787" t="s">
        <v>588</v>
      </c>
      <c r="J30" s="787" t="s">
        <v>588</v>
      </c>
      <c r="K30" s="787" t="s">
        <v>588</v>
      </c>
      <c r="L30" s="787" t="s">
        <v>588</v>
      </c>
      <c r="M30" s="787" t="s">
        <v>588</v>
      </c>
      <c r="N30" s="787" t="s">
        <v>588</v>
      </c>
    </row>
    <row r="31" spans="2:14" ht="15">
      <c r="B31" s="744"/>
      <c r="C31" s="744" t="s">
        <v>805</v>
      </c>
      <c r="D31" s="787" t="s">
        <v>588</v>
      </c>
      <c r="E31" s="788">
        <v>5750</v>
      </c>
      <c r="F31" s="788">
        <v>1607</v>
      </c>
      <c r="G31" s="787">
        <v>869</v>
      </c>
      <c r="H31" s="788">
        <v>1604</v>
      </c>
      <c r="I31" s="788">
        <v>1570</v>
      </c>
      <c r="J31" s="787" t="s">
        <v>588</v>
      </c>
      <c r="K31" s="787" t="s">
        <v>588</v>
      </c>
      <c r="L31" s="787" t="s">
        <v>588</v>
      </c>
      <c r="M31" s="787">
        <v>284</v>
      </c>
      <c r="N31" s="787" t="s">
        <v>588</v>
      </c>
    </row>
    <row r="32" spans="2:14" ht="15">
      <c r="B32" s="744"/>
      <c r="C32" s="744" t="s">
        <v>806</v>
      </c>
      <c r="D32" s="787" t="s">
        <v>588</v>
      </c>
      <c r="E32" s="787" t="s">
        <v>588</v>
      </c>
      <c r="F32" s="787" t="s">
        <v>588</v>
      </c>
      <c r="G32" s="787" t="s">
        <v>588</v>
      </c>
      <c r="H32" s="787" t="s">
        <v>588</v>
      </c>
      <c r="I32" s="787" t="s">
        <v>588</v>
      </c>
      <c r="J32" s="787" t="s">
        <v>588</v>
      </c>
      <c r="K32" s="787" t="s">
        <v>588</v>
      </c>
      <c r="L32" s="787" t="s">
        <v>588</v>
      </c>
      <c r="M32" s="787" t="s">
        <v>588</v>
      </c>
      <c r="N32" s="787" t="s">
        <v>588</v>
      </c>
    </row>
    <row r="33" spans="2:14" ht="15">
      <c r="B33" s="744"/>
      <c r="C33" s="744" t="s">
        <v>807</v>
      </c>
      <c r="D33" s="787" t="s">
        <v>588</v>
      </c>
      <c r="E33" s="787">
        <v>0</v>
      </c>
      <c r="F33" s="787">
        <v>0</v>
      </c>
      <c r="G33" s="788">
        <v>1913</v>
      </c>
      <c r="H33" s="788">
        <v>3326</v>
      </c>
      <c r="I33" s="788">
        <v>3946</v>
      </c>
      <c r="J33" s="788">
        <v>4196</v>
      </c>
      <c r="K33" s="788">
        <v>4773</v>
      </c>
      <c r="L33" s="788">
        <v>6399</v>
      </c>
      <c r="M33" s="788">
        <v>7844</v>
      </c>
      <c r="N33" s="787" t="s">
        <v>588</v>
      </c>
    </row>
    <row r="34" spans="2:14" ht="15">
      <c r="B34" s="744"/>
      <c r="C34" s="744" t="s">
        <v>808</v>
      </c>
      <c r="D34" s="787" t="s">
        <v>588</v>
      </c>
      <c r="E34" s="787" t="s">
        <v>588</v>
      </c>
      <c r="F34" s="787" t="s">
        <v>588</v>
      </c>
      <c r="G34" s="787" t="s">
        <v>588</v>
      </c>
      <c r="H34" s="787" t="s">
        <v>588</v>
      </c>
      <c r="I34" s="788">
        <v>12916</v>
      </c>
      <c r="J34" s="788">
        <v>14192</v>
      </c>
      <c r="K34" s="788">
        <v>17270</v>
      </c>
      <c r="L34" s="788">
        <v>21066</v>
      </c>
      <c r="M34" s="788">
        <v>24046</v>
      </c>
      <c r="N34" s="787" t="s">
        <v>588</v>
      </c>
    </row>
    <row r="35" spans="2:14" ht="15">
      <c r="B35" s="744"/>
      <c r="C35" s="744" t="s">
        <v>809</v>
      </c>
      <c r="D35" s="787" t="s">
        <v>588</v>
      </c>
      <c r="E35" s="787" t="s">
        <v>588</v>
      </c>
      <c r="F35" s="787" t="s">
        <v>588</v>
      </c>
      <c r="G35" s="787" t="s">
        <v>588</v>
      </c>
      <c r="H35" s="787" t="s">
        <v>588</v>
      </c>
      <c r="I35" s="787" t="s">
        <v>588</v>
      </c>
      <c r="J35" s="787" t="s">
        <v>588</v>
      </c>
      <c r="K35" s="787" t="s">
        <v>588</v>
      </c>
      <c r="L35" s="787" t="s">
        <v>588</v>
      </c>
      <c r="M35" s="787" t="s">
        <v>588</v>
      </c>
      <c r="N35" s="787" t="s">
        <v>588</v>
      </c>
    </row>
    <row r="36" spans="2:14" ht="15">
      <c r="B36" s="744"/>
      <c r="C36" s="744"/>
      <c r="D36" s="787" t="s">
        <v>527</v>
      </c>
      <c r="E36" s="787" t="s">
        <v>527</v>
      </c>
      <c r="F36" s="787" t="s">
        <v>527</v>
      </c>
      <c r="G36" s="787" t="s">
        <v>527</v>
      </c>
      <c r="H36" s="787" t="s">
        <v>527</v>
      </c>
      <c r="I36" s="787" t="s">
        <v>527</v>
      </c>
      <c r="J36" s="787" t="s">
        <v>527</v>
      </c>
      <c r="K36" s="787" t="s">
        <v>527</v>
      </c>
      <c r="L36" s="787" t="s">
        <v>527</v>
      </c>
      <c r="M36" s="787" t="s">
        <v>527</v>
      </c>
      <c r="N36" s="787" t="s">
        <v>527</v>
      </c>
    </row>
    <row r="37" spans="2:14" ht="15">
      <c r="B37" s="784" t="s">
        <v>812</v>
      </c>
      <c r="C37" s="784"/>
      <c r="D37" s="784"/>
      <c r="E37" s="784"/>
      <c r="F37" s="784"/>
      <c r="G37" s="784"/>
      <c r="H37" s="784"/>
      <c r="I37" s="784"/>
      <c r="J37" s="784"/>
      <c r="K37" s="784"/>
      <c r="L37" s="784"/>
      <c r="M37" s="784"/>
      <c r="N37" s="784"/>
    </row>
    <row r="38" spans="2:14" ht="15">
      <c r="B38" s="744"/>
      <c r="C38" s="744" t="s">
        <v>801</v>
      </c>
      <c r="D38" s="787" t="s">
        <v>588</v>
      </c>
      <c r="E38" s="787" t="s">
        <v>588</v>
      </c>
      <c r="F38" s="787" t="s">
        <v>588</v>
      </c>
      <c r="G38" s="787" t="s">
        <v>588</v>
      </c>
      <c r="H38" s="787" t="s">
        <v>588</v>
      </c>
      <c r="I38" s="787" t="s">
        <v>588</v>
      </c>
      <c r="J38" s="787" t="s">
        <v>588</v>
      </c>
      <c r="K38" s="787" t="s">
        <v>588</v>
      </c>
      <c r="L38" s="787" t="s">
        <v>588</v>
      </c>
      <c r="M38" s="787" t="s">
        <v>588</v>
      </c>
      <c r="N38" s="787" t="s">
        <v>588</v>
      </c>
    </row>
    <row r="39" spans="2:14" ht="15">
      <c r="B39" s="744"/>
      <c r="C39" s="744" t="s">
        <v>802</v>
      </c>
      <c r="D39" s="787" t="s">
        <v>588</v>
      </c>
      <c r="E39" s="787" t="s">
        <v>588</v>
      </c>
      <c r="F39" s="787" t="s">
        <v>588</v>
      </c>
      <c r="G39" s="787" t="s">
        <v>588</v>
      </c>
      <c r="H39" s="787" t="s">
        <v>588</v>
      </c>
      <c r="I39" s="787" t="s">
        <v>588</v>
      </c>
      <c r="J39" s="787" t="s">
        <v>588</v>
      </c>
      <c r="K39" s="787" t="s">
        <v>588</v>
      </c>
      <c r="L39" s="787" t="s">
        <v>588</v>
      </c>
      <c r="M39" s="787" t="s">
        <v>588</v>
      </c>
      <c r="N39" s="787" t="s">
        <v>588</v>
      </c>
    </row>
    <row r="40" spans="2:14" ht="15">
      <c r="B40" s="744"/>
      <c r="C40" s="744" t="s">
        <v>803</v>
      </c>
      <c r="D40" s="787" t="s">
        <v>588</v>
      </c>
      <c r="E40" s="787" t="s">
        <v>588</v>
      </c>
      <c r="F40" s="787" t="s">
        <v>588</v>
      </c>
      <c r="G40" s="787" t="s">
        <v>588</v>
      </c>
      <c r="H40" s="787" t="s">
        <v>588</v>
      </c>
      <c r="I40" s="787" t="s">
        <v>588</v>
      </c>
      <c r="J40" s="787" t="s">
        <v>588</v>
      </c>
      <c r="K40" s="787" t="s">
        <v>588</v>
      </c>
      <c r="L40" s="787" t="s">
        <v>588</v>
      </c>
      <c r="M40" s="787" t="s">
        <v>588</v>
      </c>
      <c r="N40" s="787" t="s">
        <v>588</v>
      </c>
    </row>
    <row r="41" spans="2:14" ht="15">
      <c r="B41" s="744"/>
      <c r="C41" s="744" t="s">
        <v>804</v>
      </c>
      <c r="D41" s="787" t="s">
        <v>588</v>
      </c>
      <c r="E41" s="787" t="s">
        <v>588</v>
      </c>
      <c r="F41" s="787" t="s">
        <v>588</v>
      </c>
      <c r="G41" s="787" t="s">
        <v>588</v>
      </c>
      <c r="H41" s="787" t="s">
        <v>588</v>
      </c>
      <c r="I41" s="787" t="s">
        <v>588</v>
      </c>
      <c r="J41" s="787" t="s">
        <v>588</v>
      </c>
      <c r="K41" s="787" t="s">
        <v>588</v>
      </c>
      <c r="L41" s="787" t="s">
        <v>588</v>
      </c>
      <c r="M41" s="787" t="s">
        <v>588</v>
      </c>
      <c r="N41" s="787" t="s">
        <v>588</v>
      </c>
    </row>
    <row r="42" spans="2:14" ht="15">
      <c r="B42" s="744"/>
      <c r="C42" s="744" t="s">
        <v>805</v>
      </c>
      <c r="D42" s="787">
        <v>111</v>
      </c>
      <c r="E42" s="787">
        <v>56</v>
      </c>
      <c r="F42" s="787">
        <v>46</v>
      </c>
      <c r="G42" s="787">
        <v>38</v>
      </c>
      <c r="H42" s="787">
        <v>36</v>
      </c>
      <c r="I42" s="787">
        <v>32</v>
      </c>
      <c r="J42" s="787">
        <v>22</v>
      </c>
      <c r="K42" s="787">
        <v>21</v>
      </c>
      <c r="L42" s="787">
        <v>15</v>
      </c>
      <c r="M42" s="787">
        <v>17</v>
      </c>
      <c r="N42" s="787" t="s">
        <v>588</v>
      </c>
    </row>
    <row r="43" spans="2:14" ht="15">
      <c r="B43" s="744"/>
      <c r="C43" s="744" t="s">
        <v>806</v>
      </c>
      <c r="D43" s="787" t="s">
        <v>588</v>
      </c>
      <c r="E43" s="787" t="s">
        <v>588</v>
      </c>
      <c r="F43" s="787" t="s">
        <v>588</v>
      </c>
      <c r="G43" s="787" t="s">
        <v>588</v>
      </c>
      <c r="H43" s="787" t="s">
        <v>588</v>
      </c>
      <c r="I43" s="787" t="s">
        <v>588</v>
      </c>
      <c r="J43" s="787" t="s">
        <v>588</v>
      </c>
      <c r="K43" s="787" t="s">
        <v>588</v>
      </c>
      <c r="L43" s="787" t="s">
        <v>588</v>
      </c>
      <c r="M43" s="787" t="s">
        <v>588</v>
      </c>
      <c r="N43" s="787" t="s">
        <v>588</v>
      </c>
    </row>
    <row r="44" spans="2:14" ht="15">
      <c r="B44" s="744"/>
      <c r="C44" s="744" t="s">
        <v>807</v>
      </c>
      <c r="D44" s="787">
        <v>24</v>
      </c>
      <c r="E44" s="787">
        <v>30</v>
      </c>
      <c r="F44" s="787">
        <v>31</v>
      </c>
      <c r="G44" s="787">
        <v>26</v>
      </c>
      <c r="H44" s="787">
        <v>19</v>
      </c>
      <c r="I44" s="787">
        <v>46</v>
      </c>
      <c r="J44" s="787">
        <v>41</v>
      </c>
      <c r="K44" s="787">
        <v>23</v>
      </c>
      <c r="L44" s="787">
        <v>30</v>
      </c>
      <c r="M44" s="787">
        <v>36</v>
      </c>
      <c r="N44" s="787" t="s">
        <v>588</v>
      </c>
    </row>
    <row r="45" spans="2:14" ht="15">
      <c r="B45" s="744"/>
      <c r="C45" s="744" t="s">
        <v>808</v>
      </c>
      <c r="D45" s="787" t="s">
        <v>588</v>
      </c>
      <c r="E45" s="787">
        <v>50</v>
      </c>
      <c r="F45" s="787">
        <v>43</v>
      </c>
      <c r="G45" s="787">
        <v>53</v>
      </c>
      <c r="H45" s="787">
        <v>57</v>
      </c>
      <c r="I45" s="787">
        <v>48</v>
      </c>
      <c r="J45" s="787">
        <v>29</v>
      </c>
      <c r="K45" s="787">
        <v>28</v>
      </c>
      <c r="L45" s="787">
        <v>38</v>
      </c>
      <c r="M45" s="787">
        <v>41</v>
      </c>
      <c r="N45" s="787" t="s">
        <v>588</v>
      </c>
    </row>
    <row r="46" spans="2:14" ht="15">
      <c r="B46" s="744"/>
      <c r="C46" s="744" t="s">
        <v>809</v>
      </c>
      <c r="D46" s="787" t="s">
        <v>588</v>
      </c>
      <c r="E46" s="787" t="s">
        <v>588</v>
      </c>
      <c r="F46" s="787" t="s">
        <v>588</v>
      </c>
      <c r="G46" s="787" t="s">
        <v>588</v>
      </c>
      <c r="H46" s="787" t="s">
        <v>588</v>
      </c>
      <c r="I46" s="787" t="s">
        <v>588</v>
      </c>
      <c r="J46" s="787" t="s">
        <v>588</v>
      </c>
      <c r="K46" s="787" t="s">
        <v>588</v>
      </c>
      <c r="L46" s="787" t="s">
        <v>588</v>
      </c>
      <c r="M46" s="787" t="s">
        <v>588</v>
      </c>
      <c r="N46" s="787" t="s">
        <v>588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B0DBE-969F-4E46-8883-3509E78CF9DF}">
  <dimension ref="B2:K45"/>
  <sheetViews>
    <sheetView showGridLines="0" workbookViewId="0">
      <selection activeCell="B4" sqref="B4"/>
    </sheetView>
  </sheetViews>
  <sheetFormatPr defaultColWidth="11" defaultRowHeight="14.25"/>
  <cols>
    <col min="1" max="1" width="2.625" customWidth="1"/>
    <col min="2" max="2" width="30.375" bestFit="1" customWidth="1"/>
    <col min="3" max="6" width="14.875" bestFit="1" customWidth="1"/>
    <col min="7" max="7" width="11.875" bestFit="1" customWidth="1"/>
    <col min="8" max="8" width="12.375" bestFit="1" customWidth="1"/>
    <col min="9" max="9" width="13" bestFit="1" customWidth="1"/>
    <col min="10" max="11" width="14.875" bestFit="1" customWidth="1"/>
  </cols>
  <sheetData>
    <row r="2" spans="2:11" s="30" customFormat="1" ht="20.25" customHeight="1">
      <c r="B2" s="839" t="s">
        <v>813</v>
      </c>
    </row>
    <row r="4" spans="2:11" ht="15">
      <c r="B4" s="827" t="s">
        <v>814</v>
      </c>
      <c r="C4" s="828" t="s">
        <v>815</v>
      </c>
      <c r="D4" s="828" t="s">
        <v>816</v>
      </c>
      <c r="E4" s="828" t="s">
        <v>817</v>
      </c>
      <c r="F4" s="828" t="s">
        <v>818</v>
      </c>
      <c r="G4" s="828" t="s">
        <v>819</v>
      </c>
      <c r="H4" s="828" t="s">
        <v>820</v>
      </c>
      <c r="I4" s="828" t="s">
        <v>821</v>
      </c>
      <c r="J4" s="828" t="s">
        <v>822</v>
      </c>
      <c r="K4" s="828" t="s">
        <v>823</v>
      </c>
    </row>
    <row r="5" spans="2:11" ht="15">
      <c r="B5" s="829" t="s">
        <v>824</v>
      </c>
      <c r="C5" s="830">
        <v>11</v>
      </c>
      <c r="D5" s="830">
        <v>13</v>
      </c>
      <c r="E5" s="830">
        <v>7</v>
      </c>
      <c r="F5" s="830">
        <v>0</v>
      </c>
      <c r="G5" s="831">
        <v>60530</v>
      </c>
      <c r="H5" s="831">
        <v>35466</v>
      </c>
      <c r="I5" s="831">
        <v>198270</v>
      </c>
      <c r="J5" s="831">
        <v>282836</v>
      </c>
      <c r="K5" s="831">
        <v>513983</v>
      </c>
    </row>
    <row r="6" spans="2:11" ht="15">
      <c r="B6" s="832" t="s">
        <v>824</v>
      </c>
      <c r="C6" s="744">
        <v>22</v>
      </c>
      <c r="D6" s="744">
        <v>12</v>
      </c>
      <c r="E6" s="744">
        <v>9</v>
      </c>
      <c r="F6" s="744">
        <v>0</v>
      </c>
      <c r="G6" s="833">
        <v>61860</v>
      </c>
      <c r="H6" s="833">
        <v>36662</v>
      </c>
      <c r="I6" s="833">
        <v>211915</v>
      </c>
      <c r="J6" s="833">
        <v>307394</v>
      </c>
      <c r="K6" s="833">
        <v>574785</v>
      </c>
    </row>
    <row r="7" spans="2:11" ht="15">
      <c r="B7" s="832" t="s">
        <v>206</v>
      </c>
      <c r="C7" s="744">
        <v>-146</v>
      </c>
      <c r="D7" s="744">
        <v>-62</v>
      </c>
      <c r="E7" s="744">
        <v>-75</v>
      </c>
      <c r="F7" s="744">
        <v>-20</v>
      </c>
      <c r="G7" s="833">
        <v>14313</v>
      </c>
      <c r="H7" s="833">
        <v>10214</v>
      </c>
      <c r="I7" s="833">
        <v>106430</v>
      </c>
      <c r="J7" s="833">
        <v>99601</v>
      </c>
      <c r="K7" s="833">
        <v>97332</v>
      </c>
    </row>
    <row r="8" spans="2:11" ht="15">
      <c r="B8" s="834" t="s">
        <v>825</v>
      </c>
      <c r="C8" s="830">
        <v>-158</v>
      </c>
      <c r="D8" s="830">
        <v>-74</v>
      </c>
      <c r="E8" s="830">
        <v>-80</v>
      </c>
      <c r="F8" s="830">
        <v>-27</v>
      </c>
      <c r="G8" s="831">
        <v>7929</v>
      </c>
      <c r="H8" s="831">
        <v>7150</v>
      </c>
      <c r="I8" s="831">
        <v>73102</v>
      </c>
      <c r="J8" s="831">
        <v>77845</v>
      </c>
      <c r="K8" s="831">
        <v>30700</v>
      </c>
    </row>
    <row r="9" spans="2:11" ht="15">
      <c r="B9" s="835" t="s">
        <v>824</v>
      </c>
      <c r="C9" s="744">
        <v>43</v>
      </c>
      <c r="D9" s="744">
        <v>11</v>
      </c>
      <c r="E9" s="744">
        <v>9</v>
      </c>
      <c r="F9" s="744">
        <v>0</v>
      </c>
      <c r="G9" s="833">
        <v>62753</v>
      </c>
      <c r="H9" s="833">
        <v>38498</v>
      </c>
      <c r="I9" s="833">
        <v>245122</v>
      </c>
      <c r="J9" s="833">
        <v>350018</v>
      </c>
      <c r="K9" s="833">
        <v>637959</v>
      </c>
    </row>
    <row r="10" spans="2:11" ht="15">
      <c r="B10" s="836" t="s">
        <v>826</v>
      </c>
      <c r="C10" s="744">
        <v>21</v>
      </c>
      <c r="D10" s="744">
        <v>5</v>
      </c>
      <c r="E10" s="744">
        <v>3</v>
      </c>
      <c r="F10" s="744">
        <v>0</v>
      </c>
      <c r="G10" s="833">
        <v>27202</v>
      </c>
      <c r="H10" s="833">
        <v>23836</v>
      </c>
      <c r="I10" s="833">
        <v>74114</v>
      </c>
      <c r="J10" s="833">
        <v>146306</v>
      </c>
      <c r="K10" s="833">
        <v>326288</v>
      </c>
    </row>
    <row r="11" spans="2:11" ht="15">
      <c r="B11" s="835" t="s">
        <v>827</v>
      </c>
      <c r="C11" s="744">
        <v>22</v>
      </c>
      <c r="D11" s="744">
        <v>6</v>
      </c>
      <c r="E11" s="744">
        <v>6</v>
      </c>
      <c r="F11" s="744">
        <v>0</v>
      </c>
      <c r="G11" s="833">
        <v>35551</v>
      </c>
      <c r="H11" s="833">
        <v>14662</v>
      </c>
      <c r="I11" s="833">
        <v>171008</v>
      </c>
      <c r="J11" s="833">
        <v>203712</v>
      </c>
      <c r="K11" s="833">
        <v>311671</v>
      </c>
    </row>
    <row r="12" spans="2:11" ht="15">
      <c r="B12" s="836" t="s">
        <v>206</v>
      </c>
      <c r="C12" s="744">
        <v>-211</v>
      </c>
      <c r="D12" s="744">
        <v>-59</v>
      </c>
      <c r="E12" s="744">
        <v>-69</v>
      </c>
      <c r="F12" s="744">
        <v>-18</v>
      </c>
      <c r="G12" s="833">
        <v>18238</v>
      </c>
      <c r="H12" s="833">
        <v>9689</v>
      </c>
      <c r="I12" s="833">
        <v>135275</v>
      </c>
      <c r="J12" s="833">
        <v>131721</v>
      </c>
      <c r="K12" s="833">
        <v>133349</v>
      </c>
    </row>
    <row r="13" spans="2:11" ht="15">
      <c r="B13" s="835" t="s">
        <v>828</v>
      </c>
      <c r="C13" s="744">
        <v>-232</v>
      </c>
      <c r="D13" s="744">
        <v>-69</v>
      </c>
      <c r="E13" s="744">
        <v>-73</v>
      </c>
      <c r="F13" s="744">
        <v>-26</v>
      </c>
      <c r="G13" s="833">
        <v>12592</v>
      </c>
      <c r="H13" s="833">
        <v>8088</v>
      </c>
      <c r="I13" s="833">
        <v>109433</v>
      </c>
      <c r="J13" s="833">
        <v>113106</v>
      </c>
      <c r="K13" s="833">
        <v>68593</v>
      </c>
    </row>
    <row r="14" spans="2:11" ht="15">
      <c r="B14" s="836" t="s">
        <v>829</v>
      </c>
      <c r="C14" s="744">
        <v>-18</v>
      </c>
      <c r="D14" s="744">
        <v>-2</v>
      </c>
      <c r="E14" s="744">
        <v>4</v>
      </c>
      <c r="F14" s="744">
        <v>2</v>
      </c>
      <c r="G14" s="744">
        <v>965</v>
      </c>
      <c r="H14" s="744">
        <v>632</v>
      </c>
      <c r="I14" s="833">
        <v>2935</v>
      </c>
      <c r="J14" s="833">
        <v>-4214</v>
      </c>
      <c r="K14" s="833">
        <v>-2271</v>
      </c>
    </row>
    <row r="15" spans="2:11" ht="15">
      <c r="B15" s="835" t="s">
        <v>830</v>
      </c>
      <c r="C15" s="744">
        <v>-332</v>
      </c>
      <c r="D15" s="744">
        <v>-201</v>
      </c>
      <c r="E15" s="744">
        <v>-141</v>
      </c>
      <c r="F15" s="744">
        <v>-69</v>
      </c>
      <c r="G15" s="833">
        <v>10432</v>
      </c>
      <c r="H15" s="833">
        <v>7986</v>
      </c>
      <c r="I15" s="833">
        <v>107905</v>
      </c>
      <c r="J15" s="833">
        <v>117830</v>
      </c>
      <c r="K15" s="833">
        <v>69899</v>
      </c>
    </row>
    <row r="16" spans="2:11" ht="15">
      <c r="B16" s="836" t="s">
        <v>831</v>
      </c>
      <c r="C16" s="744">
        <v>0</v>
      </c>
      <c r="D16" s="744">
        <v>0</v>
      </c>
      <c r="E16" s="744">
        <v>1</v>
      </c>
      <c r="F16" s="744" t="s">
        <v>832</v>
      </c>
      <c r="G16" s="744">
        <v>-193</v>
      </c>
      <c r="H16" s="833">
        <v>1598</v>
      </c>
      <c r="I16" s="833">
        <v>19676</v>
      </c>
      <c r="J16" s="833">
        <v>19280</v>
      </c>
      <c r="K16" s="833">
        <v>9535</v>
      </c>
    </row>
    <row r="17" spans="2:11" ht="15">
      <c r="B17" s="835" t="s">
        <v>825</v>
      </c>
      <c r="C17" s="744">
        <v>-332</v>
      </c>
      <c r="D17" s="744">
        <v>-201</v>
      </c>
      <c r="E17" s="744">
        <v>-142</v>
      </c>
      <c r="F17" s="744">
        <v>-69</v>
      </c>
      <c r="G17" s="833">
        <v>10625</v>
      </c>
      <c r="H17" s="833">
        <v>6353</v>
      </c>
      <c r="I17" s="833">
        <v>88229</v>
      </c>
      <c r="J17" s="833">
        <v>98550</v>
      </c>
      <c r="K17" s="833">
        <v>60263</v>
      </c>
    </row>
    <row r="18" spans="2:11" ht="15">
      <c r="B18" s="835" t="s">
        <v>833</v>
      </c>
      <c r="C18" s="744">
        <v>-2</v>
      </c>
      <c r="D18" s="744">
        <v>-1</v>
      </c>
      <c r="E18" s="744">
        <v>-1</v>
      </c>
      <c r="F18" s="744">
        <v>-1</v>
      </c>
      <c r="G18" s="744">
        <v>12</v>
      </c>
      <c r="H18" s="744">
        <v>10</v>
      </c>
      <c r="I18" s="744">
        <v>12</v>
      </c>
      <c r="J18" s="744">
        <v>8</v>
      </c>
      <c r="K18" s="744">
        <v>6</v>
      </c>
    </row>
    <row r="19" spans="2:11" ht="15">
      <c r="B19" s="783" t="s">
        <v>834</v>
      </c>
      <c r="C19" s="744">
        <v>137</v>
      </c>
      <c r="D19" s="744">
        <v>50</v>
      </c>
      <c r="E19" s="744">
        <v>35</v>
      </c>
      <c r="F19" s="744">
        <v>11</v>
      </c>
      <c r="G19" s="833">
        <v>7479</v>
      </c>
      <c r="H19" s="833">
        <v>1536</v>
      </c>
      <c r="I19" s="833">
        <v>29510</v>
      </c>
      <c r="J19" s="833">
        <v>49326</v>
      </c>
      <c r="K19" s="833">
        <v>88544</v>
      </c>
    </row>
    <row r="20" spans="2:11" ht="15">
      <c r="B20" s="783"/>
      <c r="C20" s="744"/>
      <c r="D20" s="744"/>
      <c r="E20" s="744"/>
      <c r="F20" s="744"/>
      <c r="G20" s="744"/>
      <c r="H20" s="744"/>
      <c r="I20" s="744"/>
      <c r="J20" s="744"/>
      <c r="K20" s="744"/>
    </row>
    <row r="21" spans="2:11" ht="15">
      <c r="B21" s="783" t="s">
        <v>835</v>
      </c>
      <c r="C21" s="744">
        <v>340</v>
      </c>
      <c r="D21" s="744">
        <v>192</v>
      </c>
      <c r="E21" s="744">
        <v>178</v>
      </c>
      <c r="F21" s="744">
        <v>79</v>
      </c>
      <c r="G21" s="833">
        <v>14591</v>
      </c>
      <c r="H21" s="833">
        <v>10953</v>
      </c>
      <c r="I21" s="833">
        <v>75543</v>
      </c>
      <c r="J21" s="833">
        <v>95657</v>
      </c>
      <c r="K21" s="833">
        <v>101202</v>
      </c>
    </row>
    <row r="22" spans="2:11" ht="15">
      <c r="B22" s="783" t="s">
        <v>836</v>
      </c>
      <c r="C22" s="744">
        <v>7</v>
      </c>
      <c r="D22" s="744">
        <v>2</v>
      </c>
      <c r="E22" s="744">
        <v>1</v>
      </c>
      <c r="F22" s="744">
        <v>0</v>
      </c>
      <c r="G22" s="833">
        <v>13963</v>
      </c>
      <c r="H22" s="833">
        <v>7819</v>
      </c>
      <c r="I22" s="833">
        <v>56924</v>
      </c>
      <c r="J22" s="833">
        <v>52340</v>
      </c>
      <c r="K22" s="833">
        <v>55451</v>
      </c>
    </row>
    <row r="23" spans="2:11" ht="15">
      <c r="B23" s="783" t="s">
        <v>837</v>
      </c>
      <c r="C23" s="744" t="s">
        <v>832</v>
      </c>
      <c r="D23" s="744" t="s">
        <v>832</v>
      </c>
      <c r="E23" s="744">
        <v>2</v>
      </c>
      <c r="F23" s="744">
        <v>0</v>
      </c>
      <c r="G23" s="833">
        <v>1161</v>
      </c>
      <c r="H23" s="833">
        <v>6178</v>
      </c>
      <c r="I23" s="833">
        <v>2500</v>
      </c>
      <c r="J23" s="744" t="s">
        <v>832</v>
      </c>
      <c r="K23" s="833">
        <v>33318</v>
      </c>
    </row>
    <row r="24" spans="2:11" ht="15">
      <c r="B24" s="783" t="s">
        <v>837</v>
      </c>
      <c r="C24" s="744" t="s">
        <v>832</v>
      </c>
      <c r="D24" s="744" t="s">
        <v>832</v>
      </c>
      <c r="E24" s="744">
        <v>2</v>
      </c>
      <c r="F24" s="744">
        <v>0</v>
      </c>
      <c r="G24" s="833">
        <v>1289</v>
      </c>
      <c r="H24" s="833">
        <v>6442</v>
      </c>
      <c r="I24" s="833">
        <v>1246</v>
      </c>
      <c r="J24" s="744" t="s">
        <v>832</v>
      </c>
      <c r="K24" s="833">
        <v>34214</v>
      </c>
    </row>
    <row r="25" spans="2:11" ht="15">
      <c r="B25" s="783" t="s">
        <v>838</v>
      </c>
      <c r="C25" s="744">
        <v>379</v>
      </c>
      <c r="D25" s="744">
        <v>207</v>
      </c>
      <c r="E25" s="744">
        <v>185</v>
      </c>
      <c r="F25" s="744">
        <v>79</v>
      </c>
      <c r="G25" s="833">
        <v>34482</v>
      </c>
      <c r="H25" s="833">
        <v>27908</v>
      </c>
      <c r="I25" s="833">
        <v>159734</v>
      </c>
      <c r="J25" s="833">
        <v>163711</v>
      </c>
      <c r="K25" s="833">
        <v>190867</v>
      </c>
    </row>
    <row r="26" spans="2:11" ht="15">
      <c r="B26" s="783" t="s">
        <v>839</v>
      </c>
      <c r="C26" s="744">
        <v>62</v>
      </c>
      <c r="D26" s="744">
        <v>53</v>
      </c>
      <c r="E26" s="744">
        <v>11</v>
      </c>
      <c r="F26" s="744">
        <v>10</v>
      </c>
      <c r="G26" s="833">
        <v>8929</v>
      </c>
      <c r="H26" s="833">
        <v>7219</v>
      </c>
      <c r="I26" s="833">
        <v>154552</v>
      </c>
      <c r="J26" s="833">
        <v>184624</v>
      </c>
      <c r="K26" s="833">
        <v>328806</v>
      </c>
    </row>
    <row r="27" spans="2:11" ht="15">
      <c r="B27" s="783" t="s">
        <v>840</v>
      </c>
      <c r="C27" s="744">
        <v>508</v>
      </c>
      <c r="D27" s="744">
        <v>285</v>
      </c>
      <c r="E27" s="744">
        <v>200</v>
      </c>
      <c r="F27" s="744">
        <v>154</v>
      </c>
      <c r="G27" s="833">
        <v>137175</v>
      </c>
      <c r="H27" s="833">
        <v>75196</v>
      </c>
      <c r="I27" s="833">
        <v>512163</v>
      </c>
      <c r="J27" s="833">
        <v>450256</v>
      </c>
      <c r="K27" s="833">
        <v>624894</v>
      </c>
    </row>
    <row r="28" spans="2:11" ht="15">
      <c r="B28" s="783" t="s">
        <v>841</v>
      </c>
      <c r="C28" s="744">
        <v>22</v>
      </c>
      <c r="D28" s="744">
        <v>10</v>
      </c>
      <c r="E28" s="744">
        <v>8</v>
      </c>
      <c r="F28" s="744">
        <v>4</v>
      </c>
      <c r="G28" s="833">
        <v>13015</v>
      </c>
      <c r="H28" s="833">
        <v>8512</v>
      </c>
      <c r="I28" s="833">
        <v>39577</v>
      </c>
      <c r="J28" s="833">
        <v>80352</v>
      </c>
      <c r="K28" s="833">
        <v>144390</v>
      </c>
    </row>
    <row r="29" spans="2:11" ht="15">
      <c r="B29" s="783" t="s">
        <v>842</v>
      </c>
      <c r="C29" s="744">
        <v>36</v>
      </c>
      <c r="D29" s="744">
        <v>12</v>
      </c>
      <c r="E29" s="744">
        <v>30</v>
      </c>
      <c r="F29" s="744">
        <v>5</v>
      </c>
      <c r="G29" s="833">
        <v>33142</v>
      </c>
      <c r="H29" s="833">
        <v>21256</v>
      </c>
      <c r="I29" s="833">
        <v>125286</v>
      </c>
      <c r="J29" s="833">
        <v>89122</v>
      </c>
      <c r="K29" s="833">
        <v>179431</v>
      </c>
    </row>
    <row r="30" spans="2:11" ht="15">
      <c r="B30" s="783" t="s">
        <v>843</v>
      </c>
      <c r="C30" s="744">
        <v>14</v>
      </c>
      <c r="D30" s="744">
        <v>7</v>
      </c>
      <c r="E30" s="744">
        <v>76</v>
      </c>
      <c r="F30" s="744">
        <v>1</v>
      </c>
      <c r="G30" s="833">
        <v>52539</v>
      </c>
      <c r="H30" s="833">
        <v>26406</v>
      </c>
      <c r="I30" s="833">
        <v>82981</v>
      </c>
      <c r="J30" s="833">
        <v>22574</v>
      </c>
      <c r="K30" s="833">
        <v>130900</v>
      </c>
    </row>
    <row r="31" spans="2:11" ht="15">
      <c r="B31" s="783" t="s">
        <v>844</v>
      </c>
      <c r="C31" s="744">
        <v>18</v>
      </c>
      <c r="D31" s="744">
        <v>9</v>
      </c>
      <c r="E31" s="744">
        <v>79</v>
      </c>
      <c r="F31" s="744">
        <v>2</v>
      </c>
      <c r="G31" s="833">
        <v>58396</v>
      </c>
      <c r="H31" s="833">
        <v>32225</v>
      </c>
      <c r="I31" s="833">
        <v>97852</v>
      </c>
      <c r="J31" s="833">
        <v>25696</v>
      </c>
      <c r="K31" s="833">
        <v>147838</v>
      </c>
    </row>
    <row r="32" spans="2:11" ht="15">
      <c r="B32" s="783" t="s">
        <v>845</v>
      </c>
      <c r="C32" s="744">
        <v>384</v>
      </c>
      <c r="D32" s="744">
        <v>127</v>
      </c>
      <c r="E32" s="744">
        <v>63</v>
      </c>
      <c r="F32" s="744">
        <v>107</v>
      </c>
      <c r="G32" s="833">
        <v>27392</v>
      </c>
      <c r="H32" s="833">
        <v>19161</v>
      </c>
      <c r="I32" s="833">
        <v>268477</v>
      </c>
      <c r="J32" s="833">
        <v>325084</v>
      </c>
      <c r="K32" s="833">
        <v>285970</v>
      </c>
    </row>
    <row r="33" spans="2:11" ht="15">
      <c r="B33" s="783"/>
      <c r="C33" s="744"/>
      <c r="D33" s="744"/>
      <c r="E33" s="744"/>
      <c r="F33" s="744"/>
      <c r="G33" s="744"/>
      <c r="H33" s="744"/>
      <c r="I33" s="744"/>
      <c r="J33" s="744"/>
      <c r="K33" s="744"/>
    </row>
    <row r="34" spans="2:11" ht="15">
      <c r="B34" s="783" t="s">
        <v>846</v>
      </c>
      <c r="C34" s="744">
        <v>-106</v>
      </c>
      <c r="D34" s="744">
        <v>-51</v>
      </c>
      <c r="E34" s="744">
        <v>-43</v>
      </c>
      <c r="F34" s="744">
        <v>-16</v>
      </c>
      <c r="G34" s="833">
        <v>13445</v>
      </c>
      <c r="H34" s="833">
        <v>6097</v>
      </c>
      <c r="I34" s="833">
        <v>118548</v>
      </c>
      <c r="J34" s="833">
        <v>125299</v>
      </c>
      <c r="K34" s="833">
        <v>115877</v>
      </c>
    </row>
    <row r="35" spans="2:11" ht="15">
      <c r="B35" s="783" t="s">
        <v>847</v>
      </c>
      <c r="C35" s="744">
        <v>-24</v>
      </c>
      <c r="D35" s="744">
        <v>-11</v>
      </c>
      <c r="E35" s="744">
        <v>-2</v>
      </c>
      <c r="F35" s="744">
        <v>-6</v>
      </c>
      <c r="G35" s="833">
        <v>-1128</v>
      </c>
      <c r="H35" s="833">
        <v>-1164</v>
      </c>
      <c r="I35" s="833">
        <v>-44477</v>
      </c>
      <c r="J35" s="833">
        <v>-52535</v>
      </c>
      <c r="K35" s="833">
        <v>-77658</v>
      </c>
    </row>
    <row r="36" spans="2:11" ht="15">
      <c r="B36" s="783" t="s">
        <v>848</v>
      </c>
      <c r="C36" s="744">
        <v>83</v>
      </c>
      <c r="D36" s="744">
        <v>-78</v>
      </c>
      <c r="E36" s="744">
        <v>-3</v>
      </c>
      <c r="F36" s="744">
        <v>-6</v>
      </c>
      <c r="G36" s="833">
        <v>-4937</v>
      </c>
      <c r="H36" s="833">
        <v>-10157</v>
      </c>
      <c r="I36" s="833">
        <v>-96970</v>
      </c>
      <c r="J36" s="833">
        <v>-45536</v>
      </c>
      <c r="K36" s="833">
        <v>-94342</v>
      </c>
    </row>
    <row r="37" spans="2:11" ht="15">
      <c r="B37" s="783" t="s">
        <v>849</v>
      </c>
      <c r="C37" s="744" t="s">
        <v>832</v>
      </c>
      <c r="D37" s="744">
        <v>-23</v>
      </c>
      <c r="E37" s="744" t="s">
        <v>832</v>
      </c>
      <c r="F37" s="744">
        <v>-10</v>
      </c>
      <c r="G37" s="833">
        <v>5735</v>
      </c>
      <c r="H37" s="833">
        <v>12668</v>
      </c>
      <c r="I37" s="833">
        <v>29645</v>
      </c>
      <c r="J37" s="744" t="e">
        <v>#VALUE!</v>
      </c>
      <c r="K37" s="744">
        <v>82</v>
      </c>
    </row>
    <row r="38" spans="2:11" ht="15">
      <c r="B38" s="783" t="s">
        <v>850</v>
      </c>
      <c r="C38" s="744" t="s">
        <v>832</v>
      </c>
      <c r="D38" s="744" t="s">
        <v>832</v>
      </c>
      <c r="E38" s="744">
        <v>-30</v>
      </c>
      <c r="F38" s="744" t="s">
        <v>832</v>
      </c>
      <c r="G38" s="744">
        <v>-910</v>
      </c>
      <c r="H38" s="833">
        <v>8596</v>
      </c>
      <c r="I38" s="833">
        <v>-4675</v>
      </c>
      <c r="J38" s="744" t="e">
        <v>#VALUE!</v>
      </c>
      <c r="K38" s="833">
        <v>-11225</v>
      </c>
    </row>
    <row r="39" spans="2:11" ht="15">
      <c r="B39" s="783" t="s">
        <v>851</v>
      </c>
      <c r="C39" s="744">
        <v>42</v>
      </c>
      <c r="D39" s="744">
        <v>175</v>
      </c>
      <c r="E39" s="744">
        <v>182</v>
      </c>
      <c r="F39" s="744">
        <v>99</v>
      </c>
      <c r="G39" s="833">
        <v>-7079</v>
      </c>
      <c r="H39" s="833">
        <v>6839</v>
      </c>
      <c r="I39" s="833">
        <v>-37757</v>
      </c>
      <c r="J39" s="833">
        <v>-79733</v>
      </c>
      <c r="K39" s="833">
        <v>-11812</v>
      </c>
    </row>
    <row r="40" spans="2:11" ht="15">
      <c r="B40" s="783" t="s">
        <v>852</v>
      </c>
      <c r="C40" s="744">
        <v>19</v>
      </c>
      <c r="D40" s="744">
        <v>46</v>
      </c>
      <c r="E40" s="744">
        <v>137</v>
      </c>
      <c r="F40" s="744">
        <v>77</v>
      </c>
      <c r="G40" s="833">
        <v>1071</v>
      </c>
      <c r="H40" s="833">
        <v>2642</v>
      </c>
      <c r="I40" s="833">
        <v>-16389</v>
      </c>
      <c r="J40" s="744">
        <v>-582</v>
      </c>
      <c r="K40" s="833">
        <v>8422</v>
      </c>
    </row>
    <row r="41" spans="2:11" ht="15">
      <c r="B41" s="783"/>
      <c r="C41" s="744"/>
      <c r="D41" s="744"/>
      <c r="E41" s="744"/>
      <c r="F41" s="744"/>
      <c r="G41" s="744"/>
      <c r="H41" s="744"/>
      <c r="I41" s="744"/>
      <c r="J41" s="744"/>
      <c r="K41" s="744"/>
    </row>
    <row r="42" spans="2:11" ht="15">
      <c r="B42" s="783"/>
      <c r="C42" s="744"/>
      <c r="D42" s="744"/>
      <c r="E42" s="744"/>
      <c r="F42" s="744"/>
      <c r="G42" s="744"/>
      <c r="H42" s="744"/>
      <c r="I42" s="744"/>
      <c r="J42" s="744"/>
      <c r="K42" s="744"/>
    </row>
    <row r="43" spans="2:11" ht="15">
      <c r="B43" s="783" t="s">
        <v>853</v>
      </c>
      <c r="C43" s="744" t="s">
        <v>832</v>
      </c>
      <c r="D43" s="744">
        <v>-23</v>
      </c>
      <c r="E43" s="744" t="s">
        <v>832</v>
      </c>
      <c r="F43" s="744">
        <v>-10</v>
      </c>
      <c r="G43" s="744">
        <v>30</v>
      </c>
      <c r="H43" s="833">
        <v>2260</v>
      </c>
      <c r="I43" s="833">
        <v>5250</v>
      </c>
      <c r="J43" s="744" t="s">
        <v>854</v>
      </c>
      <c r="K43" s="744">
        <v>82</v>
      </c>
    </row>
    <row r="44" spans="2:11" ht="15">
      <c r="B44" s="783" t="s">
        <v>855</v>
      </c>
      <c r="C44" s="744" t="s">
        <v>832</v>
      </c>
      <c r="D44" s="744" t="s">
        <v>832</v>
      </c>
      <c r="E44" s="744" t="s">
        <v>832</v>
      </c>
      <c r="F44" s="744" t="s">
        <v>832</v>
      </c>
      <c r="G44" s="833">
        <v>5705</v>
      </c>
      <c r="H44" s="833">
        <v>10408</v>
      </c>
      <c r="I44" s="833">
        <v>24395</v>
      </c>
      <c r="J44" s="744" t="s">
        <v>854</v>
      </c>
      <c r="K44" s="744" t="s">
        <v>832</v>
      </c>
    </row>
    <row r="45" spans="2:11" ht="15">
      <c r="B45" s="783" t="s">
        <v>856</v>
      </c>
      <c r="C45" s="744" t="s">
        <v>832</v>
      </c>
      <c r="D45" s="744" t="s">
        <v>832</v>
      </c>
      <c r="E45" s="744">
        <v>-30</v>
      </c>
      <c r="F45" s="744" t="s">
        <v>832</v>
      </c>
      <c r="G45" s="833">
        <v>-6615</v>
      </c>
      <c r="H45" s="833">
        <v>-1812</v>
      </c>
      <c r="I45" s="833">
        <v>-29070</v>
      </c>
      <c r="J45" s="744" t="s">
        <v>854</v>
      </c>
      <c r="K45" s="833">
        <v>-11225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8769-C91E-47C0-9B80-2F509FABAE1A}">
  <dimension ref="B2:F771"/>
  <sheetViews>
    <sheetView showGridLines="0" topLeftCell="A726" zoomScale="80" zoomScaleNormal="80" workbookViewId="0">
      <selection activeCell="H758" sqref="H758"/>
    </sheetView>
  </sheetViews>
  <sheetFormatPr defaultColWidth="11" defaultRowHeight="14.25"/>
  <cols>
    <col min="1" max="1" width="2.625" customWidth="1"/>
    <col min="2" max="2" width="17.875" bestFit="1" customWidth="1"/>
    <col min="3" max="3" width="9.125" bestFit="1" customWidth="1"/>
    <col min="4" max="4" width="10.125" bestFit="1" customWidth="1"/>
    <col min="5" max="5" width="12.625" customWidth="1"/>
  </cols>
  <sheetData>
    <row r="2" spans="2:6" s="30" customFormat="1" ht="20.25" customHeight="1">
      <c r="B2" s="839" t="s">
        <v>91</v>
      </c>
    </row>
    <row r="4" spans="2:6" ht="15" customHeight="1">
      <c r="B4" t="s">
        <v>857</v>
      </c>
      <c r="C4" t="s">
        <v>858</v>
      </c>
      <c r="D4" t="s">
        <v>859</v>
      </c>
      <c r="E4" s="619" t="s">
        <v>860</v>
      </c>
      <c r="F4" t="s">
        <v>861</v>
      </c>
    </row>
    <row r="5" spans="2:6">
      <c r="B5" s="837">
        <v>45768</v>
      </c>
      <c r="C5">
        <v>23.97</v>
      </c>
      <c r="D5">
        <v>7236330</v>
      </c>
      <c r="E5" s="838">
        <v>152.3158</v>
      </c>
      <c r="F5">
        <f>D5/1000000</f>
        <v>7.2363299999999997</v>
      </c>
    </row>
    <row r="6" spans="2:6">
      <c r="B6" s="837">
        <v>45764</v>
      </c>
      <c r="C6">
        <v>25.74</v>
      </c>
      <c r="D6">
        <v>10178710</v>
      </c>
      <c r="E6" s="838">
        <v>170.94739999999999</v>
      </c>
      <c r="F6">
        <f t="shared" ref="F6:F69" si="0">D6/1000000</f>
        <v>10.178710000000001</v>
      </c>
    </row>
    <row r="7" spans="2:6">
      <c r="B7" s="837">
        <v>45763</v>
      </c>
      <c r="C7">
        <v>24.57</v>
      </c>
      <c r="D7">
        <v>9711323</v>
      </c>
      <c r="E7" s="838">
        <v>158.63159999999999</v>
      </c>
      <c r="F7">
        <f t="shared" si="0"/>
        <v>9.7113230000000001</v>
      </c>
    </row>
    <row r="8" spans="2:6">
      <c r="B8" s="837">
        <v>45762</v>
      </c>
      <c r="C8">
        <v>25.4</v>
      </c>
      <c r="D8">
        <v>9735202</v>
      </c>
      <c r="E8" s="838">
        <v>167.36840000000001</v>
      </c>
      <c r="F8">
        <f t="shared" si="0"/>
        <v>9.7352019999999992</v>
      </c>
    </row>
    <row r="9" spans="2:6">
      <c r="B9" s="837">
        <v>45761</v>
      </c>
      <c r="C9">
        <v>25.35</v>
      </c>
      <c r="D9">
        <v>19201272</v>
      </c>
      <c r="E9" s="838">
        <v>166.84209999999999</v>
      </c>
      <c r="F9">
        <f t="shared" si="0"/>
        <v>19.201271999999999</v>
      </c>
    </row>
    <row r="10" spans="2:6">
      <c r="B10" s="837">
        <v>45758</v>
      </c>
      <c r="C10">
        <v>26.09</v>
      </c>
      <c r="D10">
        <v>15810569</v>
      </c>
      <c r="E10" s="838">
        <v>174.63159999999999</v>
      </c>
      <c r="F10">
        <f t="shared" si="0"/>
        <v>15.810568999999999</v>
      </c>
    </row>
    <row r="11" spans="2:6">
      <c r="B11" s="837">
        <v>45757</v>
      </c>
      <c r="C11">
        <v>25.89</v>
      </c>
      <c r="D11">
        <v>18742102</v>
      </c>
      <c r="E11" s="838">
        <v>172.52629999999999</v>
      </c>
      <c r="F11">
        <f t="shared" si="0"/>
        <v>18.742101999999999</v>
      </c>
    </row>
    <row r="12" spans="2:6">
      <c r="B12" s="837">
        <v>45756</v>
      </c>
      <c r="C12">
        <v>26.37</v>
      </c>
      <c r="D12">
        <v>31936060</v>
      </c>
      <c r="E12" s="838">
        <v>177.5789</v>
      </c>
      <c r="F12">
        <f t="shared" si="0"/>
        <v>31.936060000000001</v>
      </c>
    </row>
    <row r="13" spans="2:6">
      <c r="B13" s="837">
        <v>45755</v>
      </c>
      <c r="C13">
        <v>21.28</v>
      </c>
      <c r="D13">
        <v>26233132</v>
      </c>
      <c r="E13" s="838">
        <v>124</v>
      </c>
      <c r="F13">
        <f t="shared" si="0"/>
        <v>26.233132000000001</v>
      </c>
    </row>
    <row r="14" spans="2:6">
      <c r="B14" s="837">
        <v>45754</v>
      </c>
      <c r="C14">
        <v>22.75</v>
      </c>
      <c r="D14">
        <v>29250668</v>
      </c>
      <c r="E14" s="838">
        <v>139.47370000000001</v>
      </c>
      <c r="F14">
        <f t="shared" si="0"/>
        <v>29.250668000000001</v>
      </c>
    </row>
    <row r="15" spans="2:6">
      <c r="B15" s="837">
        <v>45751</v>
      </c>
      <c r="C15">
        <v>20.68</v>
      </c>
      <c r="D15">
        <v>26829546</v>
      </c>
      <c r="E15" s="838">
        <v>117.6842</v>
      </c>
      <c r="F15">
        <f t="shared" si="0"/>
        <v>26.829546000000001</v>
      </c>
    </row>
    <row r="16" spans="2:6">
      <c r="B16" s="837">
        <v>45750</v>
      </c>
      <c r="C16">
        <v>23.25</v>
      </c>
      <c r="D16">
        <v>19912752</v>
      </c>
      <c r="E16" s="838">
        <v>144.73679999999999</v>
      </c>
      <c r="F16">
        <f t="shared" si="0"/>
        <v>19.912752000000001</v>
      </c>
    </row>
    <row r="17" spans="2:6">
      <c r="B17" s="837">
        <v>45749</v>
      </c>
      <c r="C17">
        <v>25.05</v>
      </c>
      <c r="D17">
        <v>25696284</v>
      </c>
      <c r="E17" s="838">
        <v>163.6842</v>
      </c>
      <c r="F17">
        <f t="shared" si="0"/>
        <v>25.696283999999999</v>
      </c>
    </row>
    <row r="18" spans="2:6">
      <c r="B18" s="837">
        <v>45748</v>
      </c>
      <c r="C18">
        <v>23.19</v>
      </c>
      <c r="D18">
        <v>22958092</v>
      </c>
      <c r="E18" s="838">
        <v>144.1053</v>
      </c>
      <c r="F18">
        <f t="shared" si="0"/>
        <v>22.958092000000001</v>
      </c>
    </row>
    <row r="19" spans="2:6">
      <c r="B19" s="837">
        <v>45747</v>
      </c>
      <c r="C19">
        <v>22.07</v>
      </c>
      <c r="D19">
        <v>15046773</v>
      </c>
      <c r="E19" s="838">
        <v>132.3158</v>
      </c>
      <c r="F19">
        <f t="shared" si="0"/>
        <v>15.046773</v>
      </c>
    </row>
    <row r="20" spans="2:6">
      <c r="B20" s="837">
        <v>45744</v>
      </c>
      <c r="C20">
        <v>22.85</v>
      </c>
      <c r="D20">
        <v>15453545</v>
      </c>
      <c r="E20" s="838">
        <v>140.52629999999999</v>
      </c>
      <c r="F20">
        <f t="shared" si="0"/>
        <v>15.453545</v>
      </c>
    </row>
    <row r="21" spans="2:6">
      <c r="B21" s="837">
        <v>45743</v>
      </c>
      <c r="C21">
        <v>23.65</v>
      </c>
      <c r="D21">
        <v>14118999</v>
      </c>
      <c r="E21" s="838">
        <v>148.94739999999999</v>
      </c>
      <c r="F21">
        <f t="shared" si="0"/>
        <v>14.118999000000001</v>
      </c>
    </row>
    <row r="22" spans="2:6">
      <c r="B22" s="837">
        <v>45742</v>
      </c>
      <c r="C22">
        <v>24.8</v>
      </c>
      <c r="D22">
        <v>30122316</v>
      </c>
      <c r="E22" s="838">
        <v>161.05260000000001</v>
      </c>
      <c r="F22">
        <f t="shared" si="0"/>
        <v>30.122316000000001</v>
      </c>
    </row>
    <row r="23" spans="2:6">
      <c r="B23" s="837">
        <v>45741</v>
      </c>
      <c r="C23">
        <v>25.55</v>
      </c>
      <c r="D23">
        <v>17186872</v>
      </c>
      <c r="E23" s="838">
        <v>168.94739999999999</v>
      </c>
      <c r="F23">
        <f t="shared" si="0"/>
        <v>17.186872000000001</v>
      </c>
    </row>
    <row r="24" spans="2:6">
      <c r="B24" s="837">
        <v>45740</v>
      </c>
      <c r="C24">
        <v>26.12</v>
      </c>
      <c r="D24">
        <v>34724184</v>
      </c>
      <c r="E24" s="838">
        <v>174.94739999999999</v>
      </c>
      <c r="F24">
        <f t="shared" si="0"/>
        <v>34.724184000000001</v>
      </c>
    </row>
    <row r="25" spans="2:6">
      <c r="B25" s="837">
        <v>45737</v>
      </c>
      <c r="C25">
        <v>22.26</v>
      </c>
      <c r="D25">
        <v>21965920</v>
      </c>
      <c r="E25" s="838">
        <v>134.3158</v>
      </c>
      <c r="F25">
        <f t="shared" si="0"/>
        <v>21.965920000000001</v>
      </c>
    </row>
    <row r="26" spans="2:6">
      <c r="B26" s="837">
        <v>45736</v>
      </c>
      <c r="C26">
        <v>21.14</v>
      </c>
      <c r="D26">
        <v>29478496</v>
      </c>
      <c r="E26" s="838">
        <v>122.52630000000001</v>
      </c>
      <c r="F26">
        <f t="shared" si="0"/>
        <v>29.478496</v>
      </c>
    </row>
    <row r="27" spans="2:6">
      <c r="B27" s="837">
        <v>45735</v>
      </c>
      <c r="C27">
        <v>23.3</v>
      </c>
      <c r="D27">
        <v>16600506</v>
      </c>
      <c r="E27" s="838">
        <v>145.26320000000001</v>
      </c>
      <c r="F27">
        <f t="shared" si="0"/>
        <v>16.600505999999999</v>
      </c>
    </row>
    <row r="28" spans="2:6">
      <c r="B28" s="837">
        <v>45734</v>
      </c>
      <c r="C28">
        <v>22.68</v>
      </c>
      <c r="D28">
        <v>20876284</v>
      </c>
      <c r="E28" s="838">
        <v>138.73679999999999</v>
      </c>
      <c r="F28">
        <f t="shared" si="0"/>
        <v>20.876283999999998</v>
      </c>
    </row>
    <row r="29" spans="2:6">
      <c r="B29" s="837">
        <v>45733</v>
      </c>
      <c r="C29">
        <v>24.93</v>
      </c>
      <c r="D29">
        <v>30552898</v>
      </c>
      <c r="E29" s="838">
        <v>162.4211</v>
      </c>
      <c r="F29">
        <f t="shared" si="0"/>
        <v>30.552897999999999</v>
      </c>
    </row>
    <row r="30" spans="2:6">
      <c r="B30" s="837">
        <v>45730</v>
      </c>
      <c r="C30">
        <v>25</v>
      </c>
      <c r="D30">
        <v>37795872</v>
      </c>
      <c r="E30" s="838">
        <v>163.15790000000001</v>
      </c>
      <c r="F30">
        <f t="shared" si="0"/>
        <v>37.795872000000003</v>
      </c>
    </row>
    <row r="31" spans="2:6">
      <c r="B31" s="837">
        <v>45729</v>
      </c>
      <c r="C31">
        <v>21.37</v>
      </c>
      <c r="D31">
        <v>32423238</v>
      </c>
      <c r="E31" s="838">
        <v>124.9474</v>
      </c>
      <c r="F31">
        <f t="shared" si="0"/>
        <v>32.423237999999998</v>
      </c>
    </row>
    <row r="32" spans="2:6">
      <c r="B32" s="837">
        <v>45728</v>
      </c>
      <c r="C32">
        <v>21.82</v>
      </c>
      <c r="D32">
        <v>27255066</v>
      </c>
      <c r="E32" s="838">
        <v>129.6842</v>
      </c>
      <c r="F32">
        <f t="shared" si="0"/>
        <v>27.255065999999999</v>
      </c>
    </row>
    <row r="33" spans="2:6">
      <c r="B33" s="837">
        <v>45727</v>
      </c>
      <c r="C33">
        <v>18.7</v>
      </c>
      <c r="D33">
        <v>17836172</v>
      </c>
      <c r="E33" s="838">
        <v>96.842100000000002</v>
      </c>
      <c r="F33">
        <f t="shared" si="0"/>
        <v>17.836172000000001</v>
      </c>
    </row>
    <row r="34" spans="2:6">
      <c r="B34" s="837">
        <v>45726</v>
      </c>
      <c r="C34">
        <v>18.27</v>
      </c>
      <c r="D34">
        <v>15686762</v>
      </c>
      <c r="E34" s="838">
        <v>92.315799999999996</v>
      </c>
      <c r="F34">
        <f t="shared" si="0"/>
        <v>15.686762</v>
      </c>
    </row>
    <row r="35" spans="2:6">
      <c r="B35" s="837">
        <v>45723</v>
      </c>
      <c r="C35">
        <v>20.55</v>
      </c>
      <c r="D35">
        <v>16189220</v>
      </c>
      <c r="E35" s="838">
        <v>116.3158</v>
      </c>
      <c r="F35">
        <f t="shared" si="0"/>
        <v>16.189219999999999</v>
      </c>
    </row>
    <row r="36" spans="2:6">
      <c r="B36" s="837">
        <v>45722</v>
      </c>
      <c r="C36">
        <v>20.48</v>
      </c>
      <c r="D36">
        <v>16639264</v>
      </c>
      <c r="E36" s="838">
        <v>115.5789</v>
      </c>
      <c r="F36">
        <f t="shared" si="0"/>
        <v>16.639264000000001</v>
      </c>
    </row>
    <row r="37" spans="2:6">
      <c r="B37" s="837">
        <v>45721</v>
      </c>
      <c r="C37">
        <v>22.63</v>
      </c>
      <c r="D37">
        <v>16067827</v>
      </c>
      <c r="E37" s="838">
        <v>138.2105</v>
      </c>
      <c r="F37">
        <f t="shared" si="0"/>
        <v>16.067827000000001</v>
      </c>
    </row>
    <row r="38" spans="2:6">
      <c r="B38" s="837">
        <v>45720</v>
      </c>
      <c r="C38">
        <v>22.35</v>
      </c>
      <c r="D38">
        <v>21074786</v>
      </c>
      <c r="E38" s="838">
        <v>135.26320000000001</v>
      </c>
      <c r="F38">
        <f t="shared" si="0"/>
        <v>21.074786</v>
      </c>
    </row>
    <row r="39" spans="2:6">
      <c r="B39" s="837">
        <v>45719</v>
      </c>
      <c r="C39">
        <v>23.11</v>
      </c>
      <c r="D39">
        <v>18253664</v>
      </c>
      <c r="E39" s="838">
        <v>143.26320000000001</v>
      </c>
      <c r="F39">
        <f t="shared" si="0"/>
        <v>18.253664000000001</v>
      </c>
    </row>
    <row r="40" spans="2:6">
      <c r="B40" s="837">
        <v>45716</v>
      </c>
      <c r="C40">
        <v>24.57</v>
      </c>
      <c r="D40">
        <v>21996056</v>
      </c>
      <c r="E40" s="838">
        <v>158.63159999999999</v>
      </c>
      <c r="F40">
        <f t="shared" si="0"/>
        <v>21.996055999999999</v>
      </c>
    </row>
    <row r="41" spans="2:6">
      <c r="B41" s="837">
        <v>45715</v>
      </c>
      <c r="C41">
        <v>24.91</v>
      </c>
      <c r="D41">
        <v>34732796</v>
      </c>
      <c r="E41" s="838">
        <v>162.2105</v>
      </c>
      <c r="F41">
        <f t="shared" si="0"/>
        <v>34.732796</v>
      </c>
    </row>
    <row r="42" spans="2:6">
      <c r="B42" s="837">
        <v>45714</v>
      </c>
      <c r="C42">
        <v>29.93</v>
      </c>
      <c r="D42">
        <v>14152719</v>
      </c>
      <c r="E42" s="838">
        <v>215.05260000000001</v>
      </c>
      <c r="F42">
        <f t="shared" si="0"/>
        <v>14.152718999999999</v>
      </c>
    </row>
    <row r="43" spans="2:6">
      <c r="B43" s="837">
        <v>45713</v>
      </c>
      <c r="C43">
        <v>29.73</v>
      </c>
      <c r="D43">
        <v>13278431</v>
      </c>
      <c r="E43" s="838">
        <v>212.94739999999999</v>
      </c>
      <c r="F43">
        <f t="shared" si="0"/>
        <v>13.278430999999999</v>
      </c>
    </row>
    <row r="44" spans="2:6">
      <c r="B44" s="837">
        <v>45712</v>
      </c>
      <c r="C44">
        <v>31.24</v>
      </c>
      <c r="D44">
        <v>12451787</v>
      </c>
      <c r="E44" s="838">
        <v>228.84209999999999</v>
      </c>
      <c r="F44">
        <f t="shared" si="0"/>
        <v>12.451786999999999</v>
      </c>
    </row>
    <row r="45" spans="2:6">
      <c r="B45" s="837">
        <v>45709</v>
      </c>
      <c r="C45">
        <v>31.74</v>
      </c>
      <c r="D45">
        <v>15788843</v>
      </c>
      <c r="E45" s="838">
        <v>234.1053</v>
      </c>
      <c r="F45">
        <f t="shared" si="0"/>
        <v>15.788843</v>
      </c>
    </row>
    <row r="46" spans="2:6">
      <c r="B46" s="837">
        <v>45708</v>
      </c>
      <c r="C46">
        <v>33.75</v>
      </c>
      <c r="D46">
        <v>13058740</v>
      </c>
      <c r="E46" s="838">
        <v>255.26320000000001</v>
      </c>
      <c r="F46">
        <f t="shared" si="0"/>
        <v>13.05874</v>
      </c>
    </row>
    <row r="47" spans="2:6">
      <c r="B47" s="837">
        <v>45707</v>
      </c>
      <c r="C47">
        <v>34.14</v>
      </c>
      <c r="D47">
        <v>20531238</v>
      </c>
      <c r="E47" s="838">
        <v>259.36840000000001</v>
      </c>
      <c r="F47">
        <f t="shared" si="0"/>
        <v>20.531237999999998</v>
      </c>
    </row>
    <row r="48" spans="2:6">
      <c r="B48" s="837">
        <v>45706</v>
      </c>
      <c r="C48">
        <v>33.94</v>
      </c>
      <c r="D48">
        <v>20116088</v>
      </c>
      <c r="E48" s="838">
        <v>257.26319999999998</v>
      </c>
      <c r="F48">
        <f t="shared" si="0"/>
        <v>20.116088000000001</v>
      </c>
    </row>
    <row r="49" spans="2:6">
      <c r="B49" s="837">
        <v>45702</v>
      </c>
      <c r="C49">
        <v>37.46</v>
      </c>
      <c r="D49">
        <v>8178180</v>
      </c>
      <c r="E49" s="838">
        <v>294.31580000000002</v>
      </c>
      <c r="F49">
        <f t="shared" si="0"/>
        <v>8.1781799999999993</v>
      </c>
    </row>
    <row r="50" spans="2:6">
      <c r="B50" s="837">
        <v>45701</v>
      </c>
      <c r="C50">
        <v>38.65</v>
      </c>
      <c r="D50">
        <v>14220234</v>
      </c>
      <c r="E50" s="838">
        <v>306.84210000000002</v>
      </c>
      <c r="F50">
        <f t="shared" si="0"/>
        <v>14.220234</v>
      </c>
    </row>
    <row r="51" spans="2:6">
      <c r="B51" s="837">
        <v>45700</v>
      </c>
      <c r="C51">
        <v>38</v>
      </c>
      <c r="D51">
        <v>11894502</v>
      </c>
      <c r="E51" s="838">
        <v>300</v>
      </c>
      <c r="F51">
        <f t="shared" si="0"/>
        <v>11.894501999999999</v>
      </c>
    </row>
    <row r="52" spans="2:6">
      <c r="B52" s="837">
        <v>45699</v>
      </c>
      <c r="C52">
        <v>37.700000000000003</v>
      </c>
      <c r="D52">
        <v>15568751</v>
      </c>
      <c r="E52" s="838">
        <v>296.84210000000002</v>
      </c>
      <c r="F52">
        <f t="shared" si="0"/>
        <v>15.568751000000001</v>
      </c>
    </row>
    <row r="53" spans="2:6">
      <c r="B53" s="837">
        <v>45698</v>
      </c>
      <c r="C53">
        <v>41.07</v>
      </c>
      <c r="D53">
        <v>13666919</v>
      </c>
      <c r="E53" s="838">
        <v>332.31580000000002</v>
      </c>
      <c r="F53">
        <f t="shared" si="0"/>
        <v>13.666919</v>
      </c>
    </row>
    <row r="54" spans="2:6">
      <c r="B54" s="837">
        <v>45695</v>
      </c>
      <c r="C54">
        <v>40.57</v>
      </c>
      <c r="D54">
        <v>15951675</v>
      </c>
      <c r="E54" s="838">
        <v>327.05259999999998</v>
      </c>
      <c r="F54">
        <f t="shared" si="0"/>
        <v>15.951675</v>
      </c>
    </row>
    <row r="55" spans="2:6">
      <c r="B55" s="837">
        <v>45694</v>
      </c>
      <c r="C55">
        <v>41.27</v>
      </c>
      <c r="D55">
        <v>10405922</v>
      </c>
      <c r="E55" s="838">
        <v>334.42110000000002</v>
      </c>
      <c r="F55">
        <f t="shared" si="0"/>
        <v>10.405922</v>
      </c>
    </row>
    <row r="56" spans="2:6">
      <c r="B56" s="837">
        <v>45693</v>
      </c>
      <c r="C56">
        <v>42.32</v>
      </c>
      <c r="D56">
        <v>13473038</v>
      </c>
      <c r="E56" s="838">
        <v>345.47370000000001</v>
      </c>
      <c r="F56">
        <f t="shared" si="0"/>
        <v>13.473038000000001</v>
      </c>
    </row>
    <row r="57" spans="2:6">
      <c r="B57" s="837">
        <v>45692</v>
      </c>
      <c r="C57">
        <v>41.86</v>
      </c>
      <c r="D57">
        <v>16434497</v>
      </c>
      <c r="E57" s="838">
        <v>340.63159999999999</v>
      </c>
      <c r="F57">
        <f t="shared" si="0"/>
        <v>16.434497</v>
      </c>
    </row>
    <row r="58" spans="2:6">
      <c r="B58" s="837">
        <v>45691</v>
      </c>
      <c r="C58">
        <v>41.47</v>
      </c>
      <c r="D58">
        <v>16578793</v>
      </c>
      <c r="E58" s="838">
        <v>336.52629999999999</v>
      </c>
      <c r="F58">
        <f t="shared" si="0"/>
        <v>16.578793000000001</v>
      </c>
    </row>
    <row r="59" spans="2:6">
      <c r="B59" s="837">
        <v>45688</v>
      </c>
      <c r="C59">
        <v>39.49</v>
      </c>
      <c r="D59">
        <v>20079012</v>
      </c>
      <c r="E59" s="838">
        <v>315.68419999999998</v>
      </c>
      <c r="F59">
        <f t="shared" si="0"/>
        <v>20.079011999999999</v>
      </c>
    </row>
    <row r="60" spans="2:6">
      <c r="B60" s="837">
        <v>45687</v>
      </c>
      <c r="C60">
        <v>38.81</v>
      </c>
      <c r="D60">
        <v>12505504</v>
      </c>
      <c r="E60" s="838">
        <v>308.52629999999999</v>
      </c>
      <c r="F60">
        <f t="shared" si="0"/>
        <v>12.505504</v>
      </c>
    </row>
    <row r="61" spans="2:6">
      <c r="B61" s="837">
        <v>45686</v>
      </c>
      <c r="C61">
        <v>39.54</v>
      </c>
      <c r="D61">
        <v>13098561</v>
      </c>
      <c r="E61" s="838">
        <v>316.21050000000002</v>
      </c>
      <c r="F61">
        <f t="shared" si="0"/>
        <v>13.098561</v>
      </c>
    </row>
    <row r="62" spans="2:6">
      <c r="B62" s="837">
        <v>45685</v>
      </c>
      <c r="C62">
        <v>38.86</v>
      </c>
      <c r="D62">
        <v>15725215</v>
      </c>
      <c r="E62" s="838">
        <v>309.05259999999998</v>
      </c>
      <c r="F62">
        <f t="shared" si="0"/>
        <v>15.725215</v>
      </c>
    </row>
    <row r="63" spans="2:6">
      <c r="B63" s="837">
        <v>45684</v>
      </c>
      <c r="C63">
        <v>38.54</v>
      </c>
      <c r="D63">
        <v>21461096</v>
      </c>
      <c r="E63" s="838">
        <v>305.68419999999998</v>
      </c>
      <c r="F63">
        <f t="shared" si="0"/>
        <v>21.461096000000001</v>
      </c>
    </row>
    <row r="64" spans="2:6">
      <c r="B64" s="837">
        <v>45681</v>
      </c>
      <c r="C64">
        <v>40.76</v>
      </c>
      <c r="D64">
        <v>19665918</v>
      </c>
      <c r="E64" s="838">
        <v>329.05259999999998</v>
      </c>
      <c r="F64">
        <f t="shared" si="0"/>
        <v>19.665918000000001</v>
      </c>
    </row>
    <row r="65" spans="2:6">
      <c r="B65" s="837">
        <v>45680</v>
      </c>
      <c r="C65">
        <v>41.35</v>
      </c>
      <c r="D65">
        <v>17140798</v>
      </c>
      <c r="E65" s="838">
        <v>335.26319999999998</v>
      </c>
      <c r="F65">
        <f t="shared" si="0"/>
        <v>17.140798</v>
      </c>
    </row>
    <row r="66" spans="2:6">
      <c r="B66" s="837">
        <v>45679</v>
      </c>
      <c r="C66">
        <v>42.04</v>
      </c>
      <c r="D66">
        <v>26440168</v>
      </c>
      <c r="E66" s="838">
        <v>342.52629999999999</v>
      </c>
      <c r="F66">
        <f t="shared" si="0"/>
        <v>26.440168</v>
      </c>
    </row>
    <row r="67" spans="2:6">
      <c r="B67" s="837">
        <v>45678</v>
      </c>
      <c r="C67">
        <v>45.31</v>
      </c>
      <c r="D67">
        <v>35231944</v>
      </c>
      <c r="E67" s="838">
        <v>376.94740000000002</v>
      </c>
      <c r="F67">
        <f t="shared" si="0"/>
        <v>35.231943999999999</v>
      </c>
    </row>
    <row r="68" spans="2:6">
      <c r="B68" s="837">
        <v>45674</v>
      </c>
      <c r="C68">
        <v>38.89</v>
      </c>
      <c r="D68">
        <v>30697676</v>
      </c>
      <c r="E68" s="838">
        <v>309.36840000000001</v>
      </c>
      <c r="F68">
        <f t="shared" si="0"/>
        <v>30.697676000000001</v>
      </c>
    </row>
    <row r="69" spans="2:6">
      <c r="B69" s="837">
        <v>45673</v>
      </c>
      <c r="C69">
        <v>41.55</v>
      </c>
      <c r="D69">
        <v>46324604</v>
      </c>
      <c r="E69" s="838">
        <v>337.36840000000001</v>
      </c>
      <c r="F69">
        <f t="shared" si="0"/>
        <v>46.324604000000001</v>
      </c>
    </row>
    <row r="70" spans="2:6">
      <c r="B70" s="837">
        <v>45672</v>
      </c>
      <c r="C70">
        <v>39.39</v>
      </c>
      <c r="D70">
        <v>74872064</v>
      </c>
      <c r="E70" s="838">
        <v>314.63159999999999</v>
      </c>
      <c r="F70">
        <f t="shared" ref="F70:F133" si="1">D70/1000000</f>
        <v>74.872063999999995</v>
      </c>
    </row>
    <row r="71" spans="2:6">
      <c r="B71" s="837">
        <v>45671</v>
      </c>
      <c r="C71">
        <v>29.51</v>
      </c>
      <c r="D71">
        <v>43673200</v>
      </c>
      <c r="E71" s="838">
        <v>210.63159999999999</v>
      </c>
      <c r="F71">
        <f t="shared" si="1"/>
        <v>43.673200000000001</v>
      </c>
    </row>
    <row r="72" spans="2:6">
      <c r="B72" s="837">
        <v>45670</v>
      </c>
      <c r="C72">
        <v>27.86</v>
      </c>
      <c r="D72">
        <v>52751688</v>
      </c>
      <c r="E72" s="838">
        <v>193.26320000000001</v>
      </c>
      <c r="F72">
        <f t="shared" si="1"/>
        <v>52.751688000000001</v>
      </c>
    </row>
    <row r="73" spans="2:6">
      <c r="B73" s="837">
        <v>45667</v>
      </c>
      <c r="C73">
        <v>32.33</v>
      </c>
      <c r="D73">
        <v>69769768</v>
      </c>
      <c r="E73" s="838">
        <v>240.3158</v>
      </c>
      <c r="F73">
        <f t="shared" si="1"/>
        <v>69.769767999999999</v>
      </c>
    </row>
    <row r="74" spans="2:6">
      <c r="B74" s="837">
        <v>45665</v>
      </c>
      <c r="C74">
        <v>30.25</v>
      </c>
      <c r="D74">
        <v>128343760</v>
      </c>
      <c r="E74" s="838">
        <v>218.4211</v>
      </c>
      <c r="F74">
        <f t="shared" si="1"/>
        <v>128.34376</v>
      </c>
    </row>
    <row r="75" spans="2:6">
      <c r="B75" s="837">
        <v>45664</v>
      </c>
      <c r="C75">
        <v>49.59</v>
      </c>
      <c r="D75">
        <v>27090332</v>
      </c>
      <c r="E75" s="838">
        <v>422</v>
      </c>
      <c r="F75">
        <f t="shared" si="1"/>
        <v>27.090332</v>
      </c>
    </row>
    <row r="76" spans="2:6">
      <c r="B76" s="837">
        <v>45663</v>
      </c>
      <c r="C76">
        <v>51.07</v>
      </c>
      <c r="D76">
        <v>23299872</v>
      </c>
      <c r="E76" s="838">
        <v>437.57889999999998</v>
      </c>
      <c r="F76">
        <f t="shared" si="1"/>
        <v>23.299872000000001</v>
      </c>
    </row>
    <row r="77" spans="2:6">
      <c r="B77" s="837">
        <v>45660</v>
      </c>
      <c r="C77">
        <v>47.77</v>
      </c>
      <c r="D77">
        <v>28235532</v>
      </c>
      <c r="E77" s="838">
        <v>402.84210000000002</v>
      </c>
      <c r="F77">
        <f t="shared" si="1"/>
        <v>28.235531999999999</v>
      </c>
    </row>
    <row r="78" spans="2:6">
      <c r="B78" s="837">
        <v>45659</v>
      </c>
      <c r="C78">
        <v>43.1</v>
      </c>
      <c r="D78">
        <v>22986248</v>
      </c>
      <c r="E78" s="838">
        <v>353.68419999999998</v>
      </c>
      <c r="F78">
        <f t="shared" si="1"/>
        <v>22.986248</v>
      </c>
    </row>
    <row r="79" spans="2:6">
      <c r="B79" s="837">
        <v>45657</v>
      </c>
      <c r="C79">
        <v>41.77</v>
      </c>
      <c r="D79">
        <v>15311420</v>
      </c>
      <c r="E79" s="838">
        <v>339.68419999999998</v>
      </c>
      <c r="F79">
        <f t="shared" si="1"/>
        <v>15.31142</v>
      </c>
    </row>
    <row r="80" spans="2:6">
      <c r="B80" s="837">
        <v>45656</v>
      </c>
      <c r="C80">
        <v>44.29</v>
      </c>
      <c r="D80">
        <v>17610860</v>
      </c>
      <c r="E80" s="838">
        <v>366.21050000000002</v>
      </c>
      <c r="F80">
        <f t="shared" si="1"/>
        <v>17.610859999999999</v>
      </c>
    </row>
    <row r="81" spans="2:6">
      <c r="B81" s="837">
        <v>45653</v>
      </c>
      <c r="C81">
        <v>45.48</v>
      </c>
      <c r="D81">
        <v>22491380</v>
      </c>
      <c r="E81" s="838">
        <v>378.73680000000002</v>
      </c>
      <c r="F81">
        <f t="shared" si="1"/>
        <v>22.491379999999999</v>
      </c>
    </row>
    <row r="82" spans="2:6">
      <c r="B82" s="837">
        <v>45652</v>
      </c>
      <c r="C82">
        <v>48.24</v>
      </c>
      <c r="D82">
        <v>24821272</v>
      </c>
      <c r="E82" s="838">
        <v>407.78949999999998</v>
      </c>
      <c r="F82">
        <f t="shared" si="1"/>
        <v>24.821272</v>
      </c>
    </row>
    <row r="83" spans="2:6">
      <c r="B83" s="837">
        <v>45650</v>
      </c>
      <c r="C83">
        <v>44.58</v>
      </c>
      <c r="D83">
        <v>18418372</v>
      </c>
      <c r="E83" s="838">
        <v>369.26319999999998</v>
      </c>
      <c r="F83">
        <f t="shared" si="1"/>
        <v>18.418372000000002</v>
      </c>
    </row>
    <row r="84" spans="2:6">
      <c r="B84" s="837">
        <v>45649</v>
      </c>
      <c r="C84">
        <v>41.32</v>
      </c>
      <c r="D84">
        <v>27057204</v>
      </c>
      <c r="E84" s="838">
        <v>334.94740000000002</v>
      </c>
      <c r="F84">
        <f t="shared" si="1"/>
        <v>27.057203999999999</v>
      </c>
    </row>
    <row r="85" spans="2:6">
      <c r="B85" s="837">
        <v>45646</v>
      </c>
      <c r="C85">
        <v>44.42</v>
      </c>
      <c r="D85">
        <v>47711376</v>
      </c>
      <c r="E85" s="838">
        <v>367.57889999999998</v>
      </c>
      <c r="F85">
        <f t="shared" si="1"/>
        <v>47.711376000000001</v>
      </c>
    </row>
    <row r="86" spans="2:6">
      <c r="B86" s="837">
        <v>45645</v>
      </c>
      <c r="C86">
        <v>37.76</v>
      </c>
      <c r="D86">
        <v>27705824</v>
      </c>
      <c r="E86" s="838">
        <v>297.47370000000001</v>
      </c>
      <c r="F86">
        <f t="shared" si="1"/>
        <v>27.705824</v>
      </c>
    </row>
    <row r="87" spans="2:6">
      <c r="B87" s="837">
        <v>45644</v>
      </c>
      <c r="C87">
        <v>37.5</v>
      </c>
      <c r="D87">
        <v>37488620</v>
      </c>
      <c r="E87" s="838">
        <v>294.73680000000002</v>
      </c>
      <c r="F87">
        <f t="shared" si="1"/>
        <v>37.488619999999997</v>
      </c>
    </row>
    <row r="88" spans="2:6">
      <c r="B88" s="837">
        <v>45643</v>
      </c>
      <c r="C88">
        <v>43.84</v>
      </c>
      <c r="D88">
        <v>31560488</v>
      </c>
      <c r="E88" s="838">
        <v>361.47370000000001</v>
      </c>
      <c r="F88">
        <f t="shared" si="1"/>
        <v>31.560487999999999</v>
      </c>
    </row>
    <row r="89" spans="2:6">
      <c r="B89" s="837">
        <v>45642</v>
      </c>
      <c r="C89">
        <v>41.81</v>
      </c>
      <c r="D89">
        <v>42539376</v>
      </c>
      <c r="E89" s="838">
        <v>340.1053</v>
      </c>
      <c r="F89">
        <f t="shared" si="1"/>
        <v>42.539375999999997</v>
      </c>
    </row>
    <row r="90" spans="2:6">
      <c r="B90" s="837">
        <v>45639</v>
      </c>
      <c r="C90">
        <v>33.83</v>
      </c>
      <c r="D90">
        <v>24677316</v>
      </c>
      <c r="E90" s="838">
        <v>256.1053</v>
      </c>
      <c r="F90">
        <f t="shared" si="1"/>
        <v>24.677316000000001</v>
      </c>
    </row>
    <row r="91" spans="2:6">
      <c r="B91" s="837">
        <v>45638</v>
      </c>
      <c r="C91">
        <v>29.99</v>
      </c>
      <c r="D91">
        <v>21879548</v>
      </c>
      <c r="E91" s="838">
        <v>215.6842</v>
      </c>
      <c r="F91">
        <f t="shared" si="1"/>
        <v>21.879548</v>
      </c>
    </row>
    <row r="92" spans="2:6">
      <c r="B92" s="837">
        <v>45637</v>
      </c>
      <c r="C92">
        <v>29.83</v>
      </c>
      <c r="D92">
        <v>36443856</v>
      </c>
      <c r="E92" s="838">
        <v>214</v>
      </c>
      <c r="F92">
        <f t="shared" si="1"/>
        <v>36.443855999999997</v>
      </c>
    </row>
    <row r="93" spans="2:6">
      <c r="B93" s="837">
        <v>45636</v>
      </c>
      <c r="C93">
        <v>32.97</v>
      </c>
      <c r="D93">
        <v>25017824</v>
      </c>
      <c r="E93" s="838">
        <v>247.05260000000001</v>
      </c>
      <c r="F93">
        <f t="shared" si="1"/>
        <v>25.017824000000001</v>
      </c>
    </row>
    <row r="94" spans="2:6">
      <c r="B94" s="837">
        <v>45635</v>
      </c>
      <c r="C94">
        <v>34.24</v>
      </c>
      <c r="D94">
        <v>22414872</v>
      </c>
      <c r="E94" s="838">
        <v>260.42110000000002</v>
      </c>
      <c r="F94">
        <f t="shared" si="1"/>
        <v>22.414871999999999</v>
      </c>
    </row>
    <row r="95" spans="2:6">
      <c r="B95" s="837">
        <v>45632</v>
      </c>
      <c r="C95">
        <v>37.97</v>
      </c>
      <c r="D95">
        <v>19783604</v>
      </c>
      <c r="E95" s="838">
        <v>299.68419999999998</v>
      </c>
      <c r="F95">
        <f t="shared" si="1"/>
        <v>19.783604</v>
      </c>
    </row>
    <row r="96" spans="2:6">
      <c r="B96" s="837">
        <v>45631</v>
      </c>
      <c r="C96">
        <v>35.950000000000003</v>
      </c>
      <c r="D96">
        <v>28953964</v>
      </c>
      <c r="E96" s="838">
        <v>278.42110000000002</v>
      </c>
      <c r="F96">
        <f t="shared" si="1"/>
        <v>28.953963999999999</v>
      </c>
    </row>
    <row r="97" spans="2:6">
      <c r="B97" s="837">
        <v>45630</v>
      </c>
      <c r="C97">
        <v>33.42</v>
      </c>
      <c r="D97">
        <v>17219606</v>
      </c>
      <c r="E97" s="838">
        <v>251.7895</v>
      </c>
      <c r="F97">
        <f t="shared" si="1"/>
        <v>17.219605999999999</v>
      </c>
    </row>
    <row r="98" spans="2:6">
      <c r="B98" s="837">
        <v>45629</v>
      </c>
      <c r="C98">
        <v>32.79</v>
      </c>
      <c r="D98">
        <v>20329144</v>
      </c>
      <c r="E98" s="838">
        <v>245.15790000000001</v>
      </c>
      <c r="F98">
        <f t="shared" si="1"/>
        <v>20.329143999999999</v>
      </c>
    </row>
    <row r="99" spans="2:6">
      <c r="B99" s="837">
        <v>45628</v>
      </c>
      <c r="C99">
        <v>32.06</v>
      </c>
      <c r="D99">
        <v>28440402</v>
      </c>
      <c r="E99" s="838">
        <v>237.47370000000001</v>
      </c>
      <c r="F99">
        <f t="shared" si="1"/>
        <v>28.440401999999999</v>
      </c>
    </row>
    <row r="100" spans="2:6">
      <c r="B100" s="837">
        <v>45625</v>
      </c>
      <c r="C100">
        <v>36.5</v>
      </c>
      <c r="D100">
        <v>23227410</v>
      </c>
      <c r="E100" s="838">
        <v>284.21050000000002</v>
      </c>
      <c r="F100">
        <f t="shared" si="1"/>
        <v>23.227409999999999</v>
      </c>
    </row>
    <row r="101" spans="2:6">
      <c r="B101" s="837">
        <v>45623</v>
      </c>
      <c r="C101">
        <v>32.21</v>
      </c>
      <c r="D101">
        <v>24277856</v>
      </c>
      <c r="E101" s="838">
        <v>239.05260000000001</v>
      </c>
      <c r="F101">
        <f t="shared" si="1"/>
        <v>24.277856</v>
      </c>
    </row>
    <row r="102" spans="2:6">
      <c r="B102" s="837">
        <v>45622</v>
      </c>
      <c r="C102">
        <v>30.65</v>
      </c>
      <c r="D102">
        <v>22521844</v>
      </c>
      <c r="E102" s="838">
        <v>222.63159999999999</v>
      </c>
      <c r="F102">
        <f t="shared" si="1"/>
        <v>22.521844000000002</v>
      </c>
    </row>
    <row r="103" spans="2:6">
      <c r="B103" s="837">
        <v>45621</v>
      </c>
      <c r="C103">
        <v>30.88</v>
      </c>
      <c r="D103">
        <v>31379342</v>
      </c>
      <c r="E103" s="838">
        <v>225.05260000000001</v>
      </c>
      <c r="F103">
        <f t="shared" si="1"/>
        <v>31.379342000000001</v>
      </c>
    </row>
    <row r="104" spans="2:6">
      <c r="B104" s="837">
        <v>45618</v>
      </c>
      <c r="C104">
        <v>31.8</v>
      </c>
      <c r="D104">
        <v>28146348</v>
      </c>
      <c r="E104" s="838">
        <v>234.73679999999999</v>
      </c>
      <c r="F104">
        <f t="shared" si="1"/>
        <v>28.146348</v>
      </c>
    </row>
    <row r="105" spans="2:6">
      <c r="B105" s="837">
        <v>45617</v>
      </c>
      <c r="C105">
        <v>32.78</v>
      </c>
      <c r="D105">
        <v>43881812</v>
      </c>
      <c r="E105" s="838">
        <v>245.05260000000001</v>
      </c>
      <c r="F105">
        <f t="shared" si="1"/>
        <v>43.881811999999996</v>
      </c>
    </row>
    <row r="106" spans="2:6">
      <c r="B106" s="837">
        <v>45616</v>
      </c>
      <c r="C106">
        <v>28.86</v>
      </c>
      <c r="D106">
        <v>28874806</v>
      </c>
      <c r="E106" s="838">
        <v>203.7895</v>
      </c>
      <c r="F106">
        <f t="shared" si="1"/>
        <v>28.874806</v>
      </c>
    </row>
    <row r="107" spans="2:6">
      <c r="B107" s="837">
        <v>45615</v>
      </c>
      <c r="C107">
        <v>27.89</v>
      </c>
      <c r="D107">
        <v>30086632</v>
      </c>
      <c r="E107" s="838">
        <v>193.5789</v>
      </c>
      <c r="F107">
        <f t="shared" si="1"/>
        <v>30.086632000000002</v>
      </c>
    </row>
    <row r="108" spans="2:6">
      <c r="B108" s="837">
        <v>45614</v>
      </c>
      <c r="C108">
        <v>25.23</v>
      </c>
      <c r="D108">
        <v>54255336</v>
      </c>
      <c r="E108" s="838">
        <v>165.5789</v>
      </c>
      <c r="F108">
        <f t="shared" si="1"/>
        <v>54.255336</v>
      </c>
    </row>
    <row r="109" spans="2:6">
      <c r="B109" s="837">
        <v>45611</v>
      </c>
      <c r="C109">
        <v>29.14</v>
      </c>
      <c r="D109">
        <v>37575992</v>
      </c>
      <c r="E109" s="838">
        <v>206.73679999999999</v>
      </c>
      <c r="F109">
        <f t="shared" si="1"/>
        <v>37.575991999999999</v>
      </c>
    </row>
    <row r="110" spans="2:6">
      <c r="B110" s="837">
        <v>45610</v>
      </c>
      <c r="C110">
        <v>26.16</v>
      </c>
      <c r="D110">
        <v>35122524</v>
      </c>
      <c r="E110" s="838">
        <v>175.36840000000001</v>
      </c>
      <c r="F110">
        <f t="shared" si="1"/>
        <v>35.122523999999999</v>
      </c>
    </row>
    <row r="111" spans="2:6">
      <c r="B111" s="837">
        <v>45609</v>
      </c>
      <c r="C111">
        <v>26.76</v>
      </c>
      <c r="D111">
        <v>41306136</v>
      </c>
      <c r="E111" s="838">
        <v>181.6842</v>
      </c>
      <c r="F111">
        <f t="shared" si="1"/>
        <v>41.306136000000002</v>
      </c>
    </row>
    <row r="112" spans="2:6">
      <c r="B112" s="837">
        <v>45608</v>
      </c>
      <c r="C112">
        <v>23.01</v>
      </c>
      <c r="D112">
        <v>28019188</v>
      </c>
      <c r="E112" s="838">
        <v>142.2105</v>
      </c>
      <c r="F112">
        <f t="shared" si="1"/>
        <v>28.019188</v>
      </c>
    </row>
    <row r="113" spans="2:6">
      <c r="B113" s="837">
        <v>45607</v>
      </c>
      <c r="C113">
        <v>23.52</v>
      </c>
      <c r="D113">
        <v>35693712</v>
      </c>
      <c r="E113" s="838">
        <v>147.5789</v>
      </c>
      <c r="F113">
        <f t="shared" si="1"/>
        <v>35.693711999999998</v>
      </c>
    </row>
    <row r="114" spans="2:6">
      <c r="B114" s="837">
        <v>45604</v>
      </c>
      <c r="C114">
        <v>24.79</v>
      </c>
      <c r="D114">
        <v>64845208</v>
      </c>
      <c r="E114" s="838">
        <v>160.94739999999999</v>
      </c>
      <c r="F114">
        <f t="shared" si="1"/>
        <v>64.845208</v>
      </c>
    </row>
    <row r="115" spans="2:6">
      <c r="B115" s="837">
        <v>45603</v>
      </c>
      <c r="C115">
        <v>22.11</v>
      </c>
      <c r="D115">
        <v>70733416</v>
      </c>
      <c r="E115" s="838">
        <v>132.73679999999999</v>
      </c>
      <c r="F115">
        <f t="shared" si="1"/>
        <v>70.733416000000005</v>
      </c>
    </row>
    <row r="116" spans="2:6">
      <c r="B116" s="837">
        <v>45602</v>
      </c>
      <c r="C116">
        <v>16.45</v>
      </c>
      <c r="D116">
        <v>20834504</v>
      </c>
      <c r="E116" s="838">
        <v>73.157899999999998</v>
      </c>
      <c r="F116">
        <f t="shared" si="1"/>
        <v>20.834503999999999</v>
      </c>
    </row>
    <row r="117" spans="2:6">
      <c r="B117" s="837">
        <v>45601</v>
      </c>
      <c r="C117">
        <v>15.35</v>
      </c>
      <c r="D117">
        <v>12942821</v>
      </c>
      <c r="E117" s="838">
        <v>61.578899999999997</v>
      </c>
      <c r="F117">
        <f t="shared" si="1"/>
        <v>12.942821</v>
      </c>
    </row>
    <row r="118" spans="2:6">
      <c r="B118" s="837">
        <v>45600</v>
      </c>
      <c r="C118">
        <v>14.37</v>
      </c>
      <c r="D118">
        <v>12424224</v>
      </c>
      <c r="E118" s="838">
        <v>51.263199999999998</v>
      </c>
      <c r="F118">
        <f t="shared" si="1"/>
        <v>12.424224000000001</v>
      </c>
    </row>
    <row r="119" spans="2:6">
      <c r="B119" s="837">
        <v>45597</v>
      </c>
      <c r="C119">
        <v>14.85</v>
      </c>
      <c r="D119">
        <v>15846997</v>
      </c>
      <c r="E119" s="838">
        <v>56.315800000000003</v>
      </c>
      <c r="F119">
        <f t="shared" si="1"/>
        <v>15.846997</v>
      </c>
    </row>
    <row r="120" spans="2:6">
      <c r="B120" s="837">
        <v>45596</v>
      </c>
      <c r="C120">
        <v>15.03</v>
      </c>
      <c r="D120">
        <v>22506862</v>
      </c>
      <c r="E120" s="838">
        <v>58.210500000000003</v>
      </c>
      <c r="F120">
        <f t="shared" si="1"/>
        <v>22.506862000000002</v>
      </c>
    </row>
    <row r="121" spans="2:6">
      <c r="B121" s="837">
        <v>45595</v>
      </c>
      <c r="C121">
        <v>16.87</v>
      </c>
      <c r="D121">
        <v>23685238</v>
      </c>
      <c r="E121" s="838">
        <v>77.578900000000004</v>
      </c>
      <c r="F121">
        <f t="shared" si="1"/>
        <v>23.685237999999998</v>
      </c>
    </row>
    <row r="122" spans="2:6">
      <c r="B122" s="837">
        <v>45594</v>
      </c>
      <c r="C122">
        <v>16.739999999999998</v>
      </c>
      <c r="D122">
        <v>32312940</v>
      </c>
      <c r="E122" s="838">
        <v>76.210499999999996</v>
      </c>
      <c r="F122">
        <f t="shared" si="1"/>
        <v>32.312939999999998</v>
      </c>
    </row>
    <row r="123" spans="2:6">
      <c r="B123" s="837">
        <v>45593</v>
      </c>
      <c r="C123">
        <v>17.809999999999999</v>
      </c>
      <c r="D123">
        <v>31529528</v>
      </c>
      <c r="E123" s="838">
        <v>87.473699999999994</v>
      </c>
      <c r="F123">
        <f t="shared" si="1"/>
        <v>31.529527999999999</v>
      </c>
    </row>
    <row r="124" spans="2:6">
      <c r="B124" s="837">
        <v>45590</v>
      </c>
      <c r="C124">
        <v>16.96</v>
      </c>
      <c r="D124">
        <v>25259612</v>
      </c>
      <c r="E124" s="838">
        <v>78.526300000000006</v>
      </c>
      <c r="F124">
        <f t="shared" si="1"/>
        <v>25.259612000000001</v>
      </c>
    </row>
    <row r="125" spans="2:6">
      <c r="B125" s="837">
        <v>45589</v>
      </c>
      <c r="C125">
        <v>15.71</v>
      </c>
      <c r="D125">
        <v>22086508</v>
      </c>
      <c r="E125" s="838">
        <v>65.368399999999994</v>
      </c>
      <c r="F125">
        <f t="shared" si="1"/>
        <v>22.086507999999998</v>
      </c>
    </row>
    <row r="126" spans="2:6">
      <c r="B126" s="837">
        <v>45588</v>
      </c>
      <c r="C126">
        <v>14.74</v>
      </c>
      <c r="D126">
        <v>29995850</v>
      </c>
      <c r="E126" s="838">
        <v>55.157899999999998</v>
      </c>
      <c r="F126">
        <f t="shared" si="1"/>
        <v>29.995850000000001</v>
      </c>
    </row>
    <row r="127" spans="2:6">
      <c r="B127" s="837">
        <v>45587</v>
      </c>
      <c r="C127">
        <v>15.01</v>
      </c>
      <c r="D127">
        <v>21299214</v>
      </c>
      <c r="E127" s="838">
        <v>58</v>
      </c>
      <c r="F127">
        <f t="shared" si="1"/>
        <v>21.299213999999999</v>
      </c>
    </row>
    <row r="128" spans="2:6">
      <c r="B128" s="837">
        <v>45586</v>
      </c>
      <c r="C128">
        <v>14.76</v>
      </c>
      <c r="D128">
        <v>29875008</v>
      </c>
      <c r="E128" s="838">
        <v>55.368400000000001</v>
      </c>
      <c r="F128">
        <f t="shared" si="1"/>
        <v>29.875008000000001</v>
      </c>
    </row>
    <row r="129" spans="2:6">
      <c r="B129" s="837">
        <v>45583</v>
      </c>
      <c r="C129">
        <v>13.3</v>
      </c>
      <c r="D129">
        <v>21236764</v>
      </c>
      <c r="E129" s="838">
        <v>40</v>
      </c>
      <c r="F129">
        <f t="shared" si="1"/>
        <v>21.236764000000001</v>
      </c>
    </row>
    <row r="130" spans="2:6">
      <c r="B130" s="837">
        <v>45582</v>
      </c>
      <c r="C130">
        <v>12.5</v>
      </c>
      <c r="D130">
        <v>13790383</v>
      </c>
      <c r="E130" s="838">
        <v>31.578900000000001</v>
      </c>
      <c r="F130">
        <f t="shared" si="1"/>
        <v>13.790383</v>
      </c>
    </row>
    <row r="131" spans="2:6">
      <c r="B131" s="837">
        <v>45581</v>
      </c>
      <c r="C131">
        <v>12.3</v>
      </c>
      <c r="D131">
        <v>17236182</v>
      </c>
      <c r="E131" s="838">
        <v>29.473700000000001</v>
      </c>
      <c r="F131">
        <f t="shared" si="1"/>
        <v>17.236181999999999</v>
      </c>
    </row>
    <row r="132" spans="2:6">
      <c r="B132" s="837">
        <v>45580</v>
      </c>
      <c r="C132">
        <v>10.49</v>
      </c>
      <c r="D132">
        <v>12716384</v>
      </c>
      <c r="E132" s="838">
        <v>10.421099999999999</v>
      </c>
      <c r="F132">
        <f t="shared" si="1"/>
        <v>12.716384</v>
      </c>
    </row>
    <row r="133" spans="2:6">
      <c r="B133" s="837">
        <v>45579</v>
      </c>
      <c r="C133">
        <v>10.84</v>
      </c>
      <c r="D133">
        <v>10807585</v>
      </c>
      <c r="E133" s="838">
        <v>14.1053</v>
      </c>
      <c r="F133">
        <f t="shared" si="1"/>
        <v>10.807585</v>
      </c>
    </row>
    <row r="134" spans="2:6">
      <c r="B134" s="837">
        <v>45576</v>
      </c>
      <c r="C134">
        <v>10.66</v>
      </c>
      <c r="D134">
        <v>11705857</v>
      </c>
      <c r="E134" s="838">
        <v>12.2105</v>
      </c>
      <c r="F134">
        <f t="shared" ref="F134:F197" si="2">D134/1000000</f>
        <v>11.705857</v>
      </c>
    </row>
    <row r="135" spans="2:6">
      <c r="B135" s="837">
        <v>45575</v>
      </c>
      <c r="C135">
        <v>9.81</v>
      </c>
      <c r="D135">
        <v>9533267</v>
      </c>
      <c r="E135" s="838">
        <v>3.2631999999999999</v>
      </c>
      <c r="F135">
        <f t="shared" si="2"/>
        <v>9.5332670000000004</v>
      </c>
    </row>
    <row r="136" spans="2:6">
      <c r="B136" s="837">
        <v>45574</v>
      </c>
      <c r="C136">
        <v>9.5399999999999991</v>
      </c>
      <c r="D136">
        <v>6781825</v>
      </c>
      <c r="E136" s="838">
        <v>0.42109999999999997</v>
      </c>
      <c r="F136">
        <f t="shared" si="2"/>
        <v>6.7818250000000004</v>
      </c>
    </row>
    <row r="137" spans="2:6">
      <c r="B137" s="837">
        <v>45573</v>
      </c>
      <c r="C137">
        <v>9.5500000000000007</v>
      </c>
      <c r="D137">
        <v>8994954</v>
      </c>
      <c r="E137" s="838">
        <v>0.52629999999999999</v>
      </c>
      <c r="F137">
        <f t="shared" si="2"/>
        <v>8.9949539999999999</v>
      </c>
    </row>
    <row r="138" spans="2:6">
      <c r="B138" s="837">
        <v>45572</v>
      </c>
      <c r="C138">
        <v>9.07</v>
      </c>
      <c r="D138">
        <v>8757025</v>
      </c>
      <c r="E138" s="838">
        <v>-4.5263</v>
      </c>
      <c r="F138">
        <f t="shared" si="2"/>
        <v>8.7570250000000005</v>
      </c>
    </row>
    <row r="139" spans="2:6">
      <c r="B139" s="837">
        <v>45569</v>
      </c>
      <c r="C139">
        <v>9.31</v>
      </c>
      <c r="D139">
        <v>7502220</v>
      </c>
      <c r="E139" s="838">
        <v>-2</v>
      </c>
      <c r="F139">
        <f t="shared" si="2"/>
        <v>7.5022200000000003</v>
      </c>
    </row>
    <row r="140" spans="2:6">
      <c r="B140" s="837">
        <v>45568</v>
      </c>
      <c r="C140">
        <v>9.25</v>
      </c>
      <c r="D140">
        <v>8820104</v>
      </c>
      <c r="E140" s="838">
        <v>-2.6316000000000002</v>
      </c>
      <c r="F140">
        <f t="shared" si="2"/>
        <v>8.8201040000000006</v>
      </c>
    </row>
    <row r="141" spans="2:6">
      <c r="B141" s="837">
        <v>45567</v>
      </c>
      <c r="C141">
        <v>9.1999999999999993</v>
      </c>
      <c r="D141">
        <v>13016516</v>
      </c>
      <c r="E141" s="838">
        <v>-3.1579000000000002</v>
      </c>
      <c r="F141">
        <f t="shared" si="2"/>
        <v>13.016515999999999</v>
      </c>
    </row>
    <row r="142" spans="2:6">
      <c r="B142" s="837">
        <v>45566</v>
      </c>
      <c r="C142">
        <v>8.17</v>
      </c>
      <c r="D142">
        <v>12275544</v>
      </c>
      <c r="E142" s="838">
        <v>-14</v>
      </c>
      <c r="F142">
        <f t="shared" si="2"/>
        <v>12.275544</v>
      </c>
    </row>
    <row r="143" spans="2:6">
      <c r="B143" s="837">
        <v>45565</v>
      </c>
      <c r="C143">
        <v>8.74</v>
      </c>
      <c r="D143">
        <v>20012668</v>
      </c>
      <c r="E143" s="838">
        <v>-8</v>
      </c>
      <c r="F143">
        <f t="shared" si="2"/>
        <v>20.012668000000001</v>
      </c>
    </row>
    <row r="144" spans="2:6">
      <c r="B144" s="837">
        <v>45562</v>
      </c>
      <c r="C144">
        <v>9.7100000000000009</v>
      </c>
      <c r="D144">
        <v>45245544</v>
      </c>
      <c r="E144" s="838">
        <v>2.2105000000000001</v>
      </c>
      <c r="F144">
        <f t="shared" si="2"/>
        <v>45.245544000000002</v>
      </c>
    </row>
    <row r="145" spans="2:6">
      <c r="B145" s="837">
        <v>45561</v>
      </c>
      <c r="C145">
        <v>8.06</v>
      </c>
      <c r="D145">
        <v>4472724</v>
      </c>
      <c r="E145" s="838">
        <v>-15.1579</v>
      </c>
      <c r="F145">
        <f t="shared" si="2"/>
        <v>4.4727240000000004</v>
      </c>
    </row>
    <row r="146" spans="2:6">
      <c r="B146" s="837">
        <v>45560</v>
      </c>
      <c r="C146">
        <v>7.59</v>
      </c>
      <c r="D146">
        <v>5402002</v>
      </c>
      <c r="E146" s="838">
        <v>-20.1053</v>
      </c>
      <c r="F146">
        <f t="shared" si="2"/>
        <v>5.4020020000000004</v>
      </c>
    </row>
    <row r="147" spans="2:6">
      <c r="B147" s="837">
        <v>45559</v>
      </c>
      <c r="C147">
        <v>8.1199999999999992</v>
      </c>
      <c r="D147">
        <v>4222787</v>
      </c>
      <c r="E147" s="838">
        <v>-14.526300000000001</v>
      </c>
      <c r="F147">
        <f t="shared" si="2"/>
        <v>4.2227870000000003</v>
      </c>
    </row>
    <row r="148" spans="2:6">
      <c r="B148" s="837">
        <v>45558</v>
      </c>
      <c r="C148">
        <v>8.01</v>
      </c>
      <c r="D148">
        <v>5432449</v>
      </c>
      <c r="E148" s="838">
        <v>-15.684200000000001</v>
      </c>
      <c r="F148">
        <f t="shared" si="2"/>
        <v>5.4324490000000001</v>
      </c>
    </row>
    <row r="149" spans="2:6">
      <c r="B149" s="837">
        <v>45555</v>
      </c>
      <c r="C149">
        <v>8.2200000000000006</v>
      </c>
      <c r="D149">
        <v>6914783</v>
      </c>
      <c r="E149" s="838">
        <v>-13.473699999999999</v>
      </c>
      <c r="F149">
        <f t="shared" si="2"/>
        <v>6.9147829999999999</v>
      </c>
    </row>
    <row r="150" spans="2:6">
      <c r="B150" s="837">
        <v>45554</v>
      </c>
      <c r="C150">
        <v>7.72</v>
      </c>
      <c r="D150">
        <v>4509104</v>
      </c>
      <c r="E150" s="838">
        <v>-18.736799999999999</v>
      </c>
      <c r="F150">
        <f t="shared" si="2"/>
        <v>4.5091039999999998</v>
      </c>
    </row>
    <row r="151" spans="2:6">
      <c r="B151" s="837">
        <v>45553</v>
      </c>
      <c r="C151">
        <v>7.83</v>
      </c>
      <c r="D151">
        <v>5114889</v>
      </c>
      <c r="E151" s="838">
        <v>-17.578900000000001</v>
      </c>
      <c r="F151">
        <f t="shared" si="2"/>
        <v>5.1148889999999998</v>
      </c>
    </row>
    <row r="152" spans="2:6">
      <c r="B152" s="837">
        <v>45552</v>
      </c>
      <c r="C152">
        <v>8.1199999999999992</v>
      </c>
      <c r="D152">
        <v>4870499</v>
      </c>
      <c r="E152" s="838">
        <v>-14.526300000000001</v>
      </c>
      <c r="F152">
        <f t="shared" si="2"/>
        <v>4.8704989999999997</v>
      </c>
    </row>
    <row r="153" spans="2:6">
      <c r="B153" s="837">
        <v>45551</v>
      </c>
      <c r="C153">
        <v>7.82</v>
      </c>
      <c r="D153">
        <v>4029813</v>
      </c>
      <c r="E153" s="838">
        <v>-17.684200000000001</v>
      </c>
      <c r="F153">
        <f t="shared" si="2"/>
        <v>4.0298129999999999</v>
      </c>
    </row>
    <row r="154" spans="2:6">
      <c r="B154" s="837">
        <v>45548</v>
      </c>
      <c r="C154">
        <v>7.76</v>
      </c>
      <c r="D154">
        <v>4402180</v>
      </c>
      <c r="E154" s="838">
        <v>-18.315799999999999</v>
      </c>
      <c r="F154">
        <f t="shared" si="2"/>
        <v>4.4021800000000004</v>
      </c>
    </row>
    <row r="155" spans="2:6">
      <c r="B155" s="837">
        <v>45547</v>
      </c>
      <c r="C155">
        <v>7.38</v>
      </c>
      <c r="D155">
        <v>4553780</v>
      </c>
      <c r="E155" s="838">
        <v>-22.315799999999999</v>
      </c>
      <c r="F155">
        <f t="shared" si="2"/>
        <v>4.5537799999999997</v>
      </c>
    </row>
    <row r="156" spans="2:6">
      <c r="B156" s="837">
        <v>45546</v>
      </c>
      <c r="C156">
        <v>7.23</v>
      </c>
      <c r="D156">
        <v>4276176</v>
      </c>
      <c r="E156" s="838">
        <v>-23.8947</v>
      </c>
      <c r="F156">
        <f t="shared" si="2"/>
        <v>4.2761760000000004</v>
      </c>
    </row>
    <row r="157" spans="2:6">
      <c r="B157" s="837">
        <v>45545</v>
      </c>
      <c r="C157">
        <v>6.9</v>
      </c>
      <c r="D157">
        <v>3811277</v>
      </c>
      <c r="E157" s="838">
        <v>-27.368400000000001</v>
      </c>
      <c r="F157">
        <f t="shared" si="2"/>
        <v>3.811277</v>
      </c>
    </row>
    <row r="158" spans="2:6">
      <c r="B158" s="837">
        <v>45544</v>
      </c>
      <c r="C158">
        <v>6.62</v>
      </c>
      <c r="D158">
        <v>4046600</v>
      </c>
      <c r="E158" s="838">
        <v>-30.315799999999999</v>
      </c>
      <c r="F158">
        <f t="shared" si="2"/>
        <v>4.0465999999999998</v>
      </c>
    </row>
    <row r="159" spans="2:6">
      <c r="B159" s="837">
        <v>45541</v>
      </c>
      <c r="C159">
        <v>6.8</v>
      </c>
      <c r="D159">
        <v>3789962</v>
      </c>
      <c r="E159" s="838">
        <v>-28.421099999999999</v>
      </c>
      <c r="F159">
        <f t="shared" si="2"/>
        <v>3.7899620000000001</v>
      </c>
    </row>
    <row r="160" spans="2:6">
      <c r="B160" s="837">
        <v>45540</v>
      </c>
      <c r="C160">
        <v>7.04</v>
      </c>
      <c r="D160">
        <v>2062278</v>
      </c>
      <c r="E160" s="838">
        <v>-25.8947</v>
      </c>
      <c r="F160">
        <f t="shared" si="2"/>
        <v>2.0622780000000001</v>
      </c>
    </row>
    <row r="161" spans="2:6">
      <c r="B161" s="837">
        <v>45539</v>
      </c>
      <c r="C161">
        <v>7.01</v>
      </c>
      <c r="D161">
        <v>3324553</v>
      </c>
      <c r="E161" s="838">
        <v>-26.2105</v>
      </c>
      <c r="F161">
        <f t="shared" si="2"/>
        <v>3.3245529999999999</v>
      </c>
    </row>
    <row r="162" spans="2:6">
      <c r="B162" s="837">
        <v>45538</v>
      </c>
      <c r="C162">
        <v>6.96</v>
      </c>
      <c r="D162">
        <v>4483815</v>
      </c>
      <c r="E162" s="838">
        <v>-26.736799999999999</v>
      </c>
      <c r="F162">
        <f t="shared" si="2"/>
        <v>4.4838149999999999</v>
      </c>
    </row>
    <row r="163" spans="2:6">
      <c r="B163" s="837">
        <v>45534</v>
      </c>
      <c r="C163">
        <v>7.42</v>
      </c>
      <c r="D163">
        <v>2892183</v>
      </c>
      <c r="E163" s="838">
        <v>-21.8947</v>
      </c>
      <c r="F163">
        <f t="shared" si="2"/>
        <v>2.8921830000000002</v>
      </c>
    </row>
    <row r="164" spans="2:6">
      <c r="B164" s="837">
        <v>45533</v>
      </c>
      <c r="C164">
        <v>7.32</v>
      </c>
      <c r="D164">
        <v>3114642</v>
      </c>
      <c r="E164" s="838">
        <v>-22.947399999999998</v>
      </c>
      <c r="F164">
        <f t="shared" si="2"/>
        <v>3.1146419999999999</v>
      </c>
    </row>
    <row r="165" spans="2:6">
      <c r="B165" s="837">
        <v>45532</v>
      </c>
      <c r="C165">
        <v>7.01</v>
      </c>
      <c r="D165">
        <v>3713909</v>
      </c>
      <c r="E165" s="838">
        <v>-26.2105</v>
      </c>
      <c r="F165">
        <f t="shared" si="2"/>
        <v>3.7139090000000001</v>
      </c>
    </row>
    <row r="166" spans="2:6">
      <c r="B166" s="837">
        <v>45531</v>
      </c>
      <c r="C166">
        <v>7.28</v>
      </c>
      <c r="D166">
        <v>3729073</v>
      </c>
      <c r="E166" s="838">
        <v>-23.368400000000001</v>
      </c>
      <c r="F166">
        <f t="shared" si="2"/>
        <v>3.7290730000000001</v>
      </c>
    </row>
    <row r="167" spans="2:6">
      <c r="B167" s="837">
        <v>45530</v>
      </c>
      <c r="C167">
        <v>7.51</v>
      </c>
      <c r="D167">
        <v>3604534</v>
      </c>
      <c r="E167" s="838">
        <v>-20.947399999999998</v>
      </c>
      <c r="F167">
        <f t="shared" si="2"/>
        <v>3.6045340000000001</v>
      </c>
    </row>
    <row r="168" spans="2:6">
      <c r="B168" s="837">
        <v>45527</v>
      </c>
      <c r="C168">
        <v>7.38</v>
      </c>
      <c r="D168">
        <v>4239944</v>
      </c>
      <c r="E168" s="838">
        <v>-22.315799999999999</v>
      </c>
      <c r="F168">
        <f t="shared" si="2"/>
        <v>4.2399440000000004</v>
      </c>
    </row>
    <row r="169" spans="2:6">
      <c r="B169" s="837">
        <v>45526</v>
      </c>
      <c r="C169">
        <v>7.31</v>
      </c>
      <c r="D169">
        <v>3946823</v>
      </c>
      <c r="E169" s="838">
        <v>-23.052600000000002</v>
      </c>
      <c r="F169">
        <f t="shared" si="2"/>
        <v>3.9468230000000002</v>
      </c>
    </row>
    <row r="170" spans="2:6">
      <c r="B170" s="837">
        <v>45525</v>
      </c>
      <c r="C170">
        <v>7.77</v>
      </c>
      <c r="D170">
        <v>4247336</v>
      </c>
      <c r="E170" s="838">
        <v>-18.2105</v>
      </c>
      <c r="F170">
        <f t="shared" si="2"/>
        <v>4.2473359999999998</v>
      </c>
    </row>
    <row r="171" spans="2:6">
      <c r="B171" s="837">
        <v>45524</v>
      </c>
      <c r="C171">
        <v>7.21</v>
      </c>
      <c r="D171">
        <v>2536515</v>
      </c>
      <c r="E171" s="838">
        <v>-24.1053</v>
      </c>
      <c r="F171">
        <f t="shared" si="2"/>
        <v>2.5365150000000001</v>
      </c>
    </row>
    <row r="172" spans="2:6">
      <c r="B172" s="837">
        <v>45523</v>
      </c>
      <c r="C172">
        <v>7.29</v>
      </c>
      <c r="D172">
        <v>2608108</v>
      </c>
      <c r="E172" s="838">
        <v>-23.263200000000001</v>
      </c>
      <c r="F172">
        <f t="shared" si="2"/>
        <v>2.6081080000000001</v>
      </c>
    </row>
    <row r="173" spans="2:6">
      <c r="B173" s="837">
        <v>45520</v>
      </c>
      <c r="C173">
        <v>7.28</v>
      </c>
      <c r="D173">
        <v>2604206</v>
      </c>
      <c r="E173" s="838">
        <v>-23.368400000000001</v>
      </c>
      <c r="F173">
        <f t="shared" si="2"/>
        <v>2.604206</v>
      </c>
    </row>
    <row r="174" spans="2:6">
      <c r="B174" s="837">
        <v>45519</v>
      </c>
      <c r="C174">
        <v>7.42</v>
      </c>
      <c r="D174">
        <v>3579554</v>
      </c>
      <c r="E174" s="838">
        <v>-21.8947</v>
      </c>
      <c r="F174">
        <f t="shared" si="2"/>
        <v>3.5795539999999999</v>
      </c>
    </row>
    <row r="175" spans="2:6">
      <c r="B175" s="837">
        <v>45518</v>
      </c>
      <c r="C175">
        <v>7.31</v>
      </c>
      <c r="D175">
        <v>3273793</v>
      </c>
      <c r="E175" s="838">
        <v>-23.052600000000002</v>
      </c>
      <c r="F175">
        <f t="shared" si="2"/>
        <v>3.273793</v>
      </c>
    </row>
    <row r="176" spans="2:6">
      <c r="B176" s="837">
        <v>45517</v>
      </c>
      <c r="C176">
        <v>7.28</v>
      </c>
      <c r="D176">
        <v>4266428</v>
      </c>
      <c r="E176" s="838">
        <v>-23.368400000000001</v>
      </c>
      <c r="F176">
        <f t="shared" si="2"/>
        <v>4.2664280000000003</v>
      </c>
    </row>
    <row r="177" spans="2:6">
      <c r="B177" s="837">
        <v>45516</v>
      </c>
      <c r="C177">
        <v>6.72</v>
      </c>
      <c r="D177">
        <v>4990205</v>
      </c>
      <c r="E177" s="838">
        <v>-29.263200000000001</v>
      </c>
      <c r="F177">
        <f t="shared" si="2"/>
        <v>4.9902049999999996</v>
      </c>
    </row>
    <row r="178" spans="2:6">
      <c r="B178" s="837">
        <v>45513</v>
      </c>
      <c r="C178">
        <v>7.12</v>
      </c>
      <c r="D178">
        <v>4208093</v>
      </c>
      <c r="E178" s="838">
        <v>-25.052600000000002</v>
      </c>
      <c r="F178">
        <f t="shared" si="2"/>
        <v>4.2080929999999999</v>
      </c>
    </row>
    <row r="179" spans="2:6">
      <c r="B179" s="837">
        <v>45512</v>
      </c>
      <c r="C179">
        <v>7.11</v>
      </c>
      <c r="D179">
        <v>6603584</v>
      </c>
      <c r="E179" s="838">
        <v>-25.157900000000001</v>
      </c>
      <c r="F179">
        <f t="shared" si="2"/>
        <v>6.6035839999999997</v>
      </c>
    </row>
    <row r="180" spans="2:6">
      <c r="B180" s="837">
        <v>45511</v>
      </c>
      <c r="C180">
        <v>6.8</v>
      </c>
      <c r="D180">
        <v>6279093</v>
      </c>
      <c r="E180" s="838">
        <v>-28.421099999999999</v>
      </c>
      <c r="F180">
        <f t="shared" si="2"/>
        <v>6.2790929999999996</v>
      </c>
    </row>
    <row r="181" spans="2:6">
      <c r="B181" s="837">
        <v>45510</v>
      </c>
      <c r="C181">
        <v>7.21</v>
      </c>
      <c r="D181">
        <v>6742061</v>
      </c>
      <c r="E181" s="838">
        <v>-24.1053</v>
      </c>
      <c r="F181">
        <f t="shared" si="2"/>
        <v>6.7420609999999996</v>
      </c>
    </row>
    <row r="182" spans="2:6">
      <c r="B182" s="837">
        <v>45509</v>
      </c>
      <c r="C182">
        <v>6.57</v>
      </c>
      <c r="D182">
        <v>7189399</v>
      </c>
      <c r="E182" s="838">
        <v>-30.842099999999999</v>
      </c>
      <c r="F182">
        <f t="shared" si="2"/>
        <v>7.1893989999999999</v>
      </c>
    </row>
    <row r="183" spans="2:6">
      <c r="B183" s="837">
        <v>45506</v>
      </c>
      <c r="C183">
        <v>7.08</v>
      </c>
      <c r="D183">
        <v>5137442</v>
      </c>
      <c r="E183" s="838">
        <v>-25.473700000000001</v>
      </c>
      <c r="F183">
        <f t="shared" si="2"/>
        <v>5.1374420000000001</v>
      </c>
    </row>
    <row r="184" spans="2:6">
      <c r="B184" s="837">
        <v>45505</v>
      </c>
      <c r="C184">
        <v>7.52</v>
      </c>
      <c r="D184">
        <v>4867140</v>
      </c>
      <c r="E184" s="838">
        <v>-20.842099999999999</v>
      </c>
      <c r="F184">
        <f t="shared" si="2"/>
        <v>4.86714</v>
      </c>
    </row>
    <row r="185" spans="2:6">
      <c r="B185" s="837">
        <v>45504</v>
      </c>
      <c r="C185">
        <v>8.15</v>
      </c>
      <c r="D185">
        <v>4221351</v>
      </c>
      <c r="E185" s="838">
        <v>-14.2105</v>
      </c>
      <c r="F185">
        <f t="shared" si="2"/>
        <v>4.2213510000000003</v>
      </c>
    </row>
    <row r="186" spans="2:6">
      <c r="B186" s="837">
        <v>45503</v>
      </c>
      <c r="C186">
        <v>7.8</v>
      </c>
      <c r="D186">
        <v>3040949</v>
      </c>
      <c r="E186" s="838">
        <v>-17.8947</v>
      </c>
      <c r="F186">
        <f t="shared" si="2"/>
        <v>3.0409489999999999</v>
      </c>
    </row>
    <row r="187" spans="2:6">
      <c r="B187" s="837">
        <v>45502</v>
      </c>
      <c r="C187">
        <v>7.89</v>
      </c>
      <c r="D187">
        <v>3420308</v>
      </c>
      <c r="E187" s="838">
        <v>-16.947399999999998</v>
      </c>
      <c r="F187">
        <f t="shared" si="2"/>
        <v>3.4203079999999999</v>
      </c>
    </row>
    <row r="188" spans="2:6">
      <c r="B188" s="837">
        <v>45499</v>
      </c>
      <c r="C188">
        <v>8.2100000000000009</v>
      </c>
      <c r="D188">
        <v>4307768</v>
      </c>
      <c r="E188" s="838">
        <v>-13.578900000000001</v>
      </c>
      <c r="F188">
        <f t="shared" si="2"/>
        <v>4.3077680000000003</v>
      </c>
    </row>
    <row r="189" spans="2:6">
      <c r="B189" s="837">
        <v>45498</v>
      </c>
      <c r="C189">
        <v>7.93</v>
      </c>
      <c r="D189">
        <v>4338934</v>
      </c>
      <c r="E189" s="838">
        <v>-16.526299999999999</v>
      </c>
      <c r="F189">
        <f t="shared" si="2"/>
        <v>4.3389340000000001</v>
      </c>
    </row>
    <row r="190" spans="2:6">
      <c r="B190" s="837">
        <v>45497</v>
      </c>
      <c r="C190">
        <v>7.62</v>
      </c>
      <c r="D190">
        <v>4827458</v>
      </c>
      <c r="E190" s="838">
        <v>-19.7895</v>
      </c>
      <c r="F190">
        <f t="shared" si="2"/>
        <v>4.827458</v>
      </c>
    </row>
    <row r="191" spans="2:6">
      <c r="B191" s="837">
        <v>45496</v>
      </c>
      <c r="C191">
        <v>8.3000000000000007</v>
      </c>
      <c r="D191">
        <v>3943224</v>
      </c>
      <c r="E191" s="838">
        <v>-12.631600000000001</v>
      </c>
      <c r="F191">
        <f t="shared" si="2"/>
        <v>3.9432239999999998</v>
      </c>
    </row>
    <row r="192" spans="2:6">
      <c r="B192" s="837">
        <v>45495</v>
      </c>
      <c r="C192">
        <v>8.08</v>
      </c>
      <c r="D192">
        <v>4471299</v>
      </c>
      <c r="E192" s="838">
        <v>-14.9474</v>
      </c>
      <c r="F192">
        <f t="shared" si="2"/>
        <v>4.4712990000000001</v>
      </c>
    </row>
    <row r="193" spans="2:6">
      <c r="B193" s="837">
        <v>45492</v>
      </c>
      <c r="C193">
        <v>7.43</v>
      </c>
      <c r="D193">
        <v>6323758</v>
      </c>
      <c r="E193" s="838">
        <v>-21.7895</v>
      </c>
      <c r="F193">
        <f t="shared" si="2"/>
        <v>6.3237579999999998</v>
      </c>
    </row>
    <row r="194" spans="2:6">
      <c r="B194" s="837">
        <v>45491</v>
      </c>
      <c r="C194">
        <v>8.2100000000000009</v>
      </c>
      <c r="D194">
        <v>4660946</v>
      </c>
      <c r="E194" s="838">
        <v>-13.578900000000001</v>
      </c>
      <c r="F194">
        <f t="shared" si="2"/>
        <v>4.660946</v>
      </c>
    </row>
    <row r="195" spans="2:6">
      <c r="B195" s="837">
        <v>45490</v>
      </c>
      <c r="C195">
        <v>8.56</v>
      </c>
      <c r="D195">
        <v>4774445</v>
      </c>
      <c r="E195" s="838">
        <v>-9.8947000000000003</v>
      </c>
      <c r="F195">
        <f t="shared" si="2"/>
        <v>4.7744450000000001</v>
      </c>
    </row>
    <row r="196" spans="2:6">
      <c r="B196" s="837">
        <v>45489</v>
      </c>
      <c r="C196">
        <v>9.0299999999999994</v>
      </c>
      <c r="D196">
        <v>5359697</v>
      </c>
      <c r="E196" s="838">
        <v>-4.9474</v>
      </c>
      <c r="F196">
        <f t="shared" si="2"/>
        <v>5.3596969999999997</v>
      </c>
    </row>
    <row r="197" spans="2:6">
      <c r="B197" s="837">
        <v>45488</v>
      </c>
      <c r="C197">
        <v>8.9499999999999993</v>
      </c>
      <c r="D197">
        <v>6298280</v>
      </c>
      <c r="E197" s="838">
        <v>-5.7895000000000003</v>
      </c>
      <c r="F197">
        <f t="shared" si="2"/>
        <v>6.2982800000000001</v>
      </c>
    </row>
    <row r="198" spans="2:6">
      <c r="B198" s="837">
        <v>45485</v>
      </c>
      <c r="C198">
        <v>8.4499999999999993</v>
      </c>
      <c r="D198">
        <v>5800924</v>
      </c>
      <c r="E198" s="838">
        <v>-11.0526</v>
      </c>
      <c r="F198">
        <f t="shared" ref="F198:F261" si="3">D198/1000000</f>
        <v>5.8009240000000002</v>
      </c>
    </row>
    <row r="199" spans="2:6">
      <c r="B199" s="837">
        <v>45484</v>
      </c>
      <c r="C199">
        <v>8.02</v>
      </c>
      <c r="D199">
        <v>9838368</v>
      </c>
      <c r="E199" s="838">
        <v>-15.578900000000001</v>
      </c>
      <c r="F199">
        <f t="shared" si="3"/>
        <v>9.8383679999999991</v>
      </c>
    </row>
    <row r="200" spans="2:6">
      <c r="B200" s="837">
        <v>45483</v>
      </c>
      <c r="C200">
        <v>8.4499999999999993</v>
      </c>
      <c r="D200">
        <v>6353785</v>
      </c>
      <c r="E200" s="838">
        <v>-11.0526</v>
      </c>
      <c r="F200">
        <f t="shared" si="3"/>
        <v>6.3537850000000002</v>
      </c>
    </row>
    <row r="201" spans="2:6">
      <c r="B201" s="837">
        <v>45482</v>
      </c>
      <c r="C201">
        <v>7.93</v>
      </c>
      <c r="D201">
        <v>4151564</v>
      </c>
      <c r="E201" s="838">
        <v>-16.526299999999999</v>
      </c>
      <c r="F201">
        <f t="shared" si="3"/>
        <v>4.1515639999999996</v>
      </c>
    </row>
    <row r="202" spans="2:6">
      <c r="B202" s="837">
        <v>45481</v>
      </c>
      <c r="C202">
        <v>7.67</v>
      </c>
      <c r="D202">
        <v>5026532</v>
      </c>
      <c r="E202" s="838">
        <v>-19.263200000000001</v>
      </c>
      <c r="F202">
        <f t="shared" si="3"/>
        <v>5.0265319999999996</v>
      </c>
    </row>
    <row r="203" spans="2:6">
      <c r="B203" s="837">
        <v>45478</v>
      </c>
      <c r="C203">
        <v>7.41</v>
      </c>
      <c r="D203">
        <v>4367993</v>
      </c>
      <c r="E203" s="838">
        <v>-22</v>
      </c>
      <c r="F203">
        <f t="shared" si="3"/>
        <v>4.3679930000000002</v>
      </c>
    </row>
    <row r="204" spans="2:6">
      <c r="B204" s="837">
        <v>45476</v>
      </c>
      <c r="C204">
        <v>7.17</v>
      </c>
      <c r="D204">
        <v>2206106</v>
      </c>
      <c r="E204" s="838">
        <v>-24.526299999999999</v>
      </c>
      <c r="F204">
        <f t="shared" si="3"/>
        <v>2.2061060000000001</v>
      </c>
    </row>
    <row r="205" spans="2:6">
      <c r="B205" s="837">
        <v>45475</v>
      </c>
      <c r="C205">
        <v>7.14</v>
      </c>
      <c r="D205">
        <v>3466678</v>
      </c>
      <c r="E205" s="838">
        <v>-24.842099999999999</v>
      </c>
      <c r="F205">
        <f t="shared" si="3"/>
        <v>3.4666779999999999</v>
      </c>
    </row>
    <row r="206" spans="2:6">
      <c r="B206" s="837">
        <v>45474</v>
      </c>
      <c r="C206">
        <v>6.84</v>
      </c>
      <c r="D206">
        <v>3906082</v>
      </c>
      <c r="E206" s="838">
        <v>-28</v>
      </c>
      <c r="F206">
        <f t="shared" si="3"/>
        <v>3.9060820000000001</v>
      </c>
    </row>
    <row r="207" spans="2:6">
      <c r="B207" s="837">
        <v>45471</v>
      </c>
      <c r="C207">
        <v>7.03</v>
      </c>
      <c r="D207">
        <v>13443640</v>
      </c>
      <c r="E207" s="838">
        <v>-26</v>
      </c>
      <c r="F207">
        <f t="shared" si="3"/>
        <v>13.44364</v>
      </c>
    </row>
    <row r="208" spans="2:6">
      <c r="B208" s="837">
        <v>45470</v>
      </c>
      <c r="C208">
        <v>7.1</v>
      </c>
      <c r="D208">
        <v>4772312</v>
      </c>
      <c r="E208" s="838">
        <v>-25.263200000000001</v>
      </c>
      <c r="F208">
        <f t="shared" si="3"/>
        <v>4.7723120000000003</v>
      </c>
    </row>
    <row r="209" spans="2:6">
      <c r="B209" s="837">
        <v>45469</v>
      </c>
      <c r="C209">
        <v>6.73</v>
      </c>
      <c r="D209">
        <v>4537374</v>
      </c>
      <c r="E209" s="838">
        <v>-29.157900000000001</v>
      </c>
      <c r="F209">
        <f t="shared" si="3"/>
        <v>4.5373739999999998</v>
      </c>
    </row>
    <row r="210" spans="2:6">
      <c r="B210" s="837">
        <v>45468</v>
      </c>
      <c r="C210">
        <v>6.59</v>
      </c>
      <c r="D210">
        <v>3581612</v>
      </c>
      <c r="E210" s="838">
        <v>-30.631599999999999</v>
      </c>
      <c r="F210">
        <f t="shared" si="3"/>
        <v>3.5816119999999998</v>
      </c>
    </row>
    <row r="211" spans="2:6">
      <c r="B211" s="837">
        <v>45467</v>
      </c>
      <c r="C211">
        <v>6.76</v>
      </c>
      <c r="D211">
        <v>4598547</v>
      </c>
      <c r="E211" s="838">
        <v>-28.842099999999999</v>
      </c>
      <c r="F211">
        <f t="shared" si="3"/>
        <v>4.5985469999999999</v>
      </c>
    </row>
    <row r="212" spans="2:6">
      <c r="B212" s="837">
        <v>45464</v>
      </c>
      <c r="C212">
        <v>6.76</v>
      </c>
      <c r="D212">
        <v>8544431</v>
      </c>
      <c r="E212" s="838">
        <v>-28.842099999999999</v>
      </c>
      <c r="F212">
        <f t="shared" si="3"/>
        <v>8.5444309999999994</v>
      </c>
    </row>
    <row r="213" spans="2:6">
      <c r="B213" s="837">
        <v>45463</v>
      </c>
      <c r="C213">
        <v>6.8</v>
      </c>
      <c r="D213">
        <v>7647993</v>
      </c>
      <c r="E213" s="838">
        <v>-28.421099999999999</v>
      </c>
      <c r="F213">
        <f t="shared" si="3"/>
        <v>7.6479929999999996</v>
      </c>
    </row>
    <row r="214" spans="2:6">
      <c r="B214" s="837">
        <v>45461</v>
      </c>
      <c r="C214">
        <v>7.21</v>
      </c>
      <c r="D214">
        <v>4767558</v>
      </c>
      <c r="E214" s="838">
        <v>-24.1053</v>
      </c>
      <c r="F214">
        <f t="shared" si="3"/>
        <v>4.7675580000000002</v>
      </c>
    </row>
    <row r="215" spans="2:6">
      <c r="B215" s="837">
        <v>45460</v>
      </c>
      <c r="C215">
        <v>7.56</v>
      </c>
      <c r="D215">
        <v>5442826</v>
      </c>
      <c r="E215" s="838">
        <v>-20.421099999999999</v>
      </c>
      <c r="F215">
        <f t="shared" si="3"/>
        <v>5.4428260000000002</v>
      </c>
    </row>
    <row r="216" spans="2:6">
      <c r="B216" s="837">
        <v>45457</v>
      </c>
      <c r="C216">
        <v>7.7</v>
      </c>
      <c r="D216">
        <v>2994123</v>
      </c>
      <c r="E216" s="838">
        <v>-18.947399999999998</v>
      </c>
      <c r="F216">
        <f t="shared" si="3"/>
        <v>2.9941230000000001</v>
      </c>
    </row>
    <row r="217" spans="2:6">
      <c r="B217" s="837">
        <v>45456</v>
      </c>
      <c r="C217">
        <v>7.71</v>
      </c>
      <c r="D217">
        <v>4324471</v>
      </c>
      <c r="E217" s="838">
        <v>-18.842099999999999</v>
      </c>
      <c r="F217">
        <f t="shared" si="3"/>
        <v>4.324471</v>
      </c>
    </row>
    <row r="218" spans="2:6">
      <c r="B218" s="837">
        <v>45455</v>
      </c>
      <c r="C218">
        <v>7.95</v>
      </c>
      <c r="D218">
        <v>4556301</v>
      </c>
      <c r="E218" s="838">
        <v>-16.315799999999999</v>
      </c>
      <c r="F218">
        <f t="shared" si="3"/>
        <v>4.5563010000000004</v>
      </c>
    </row>
    <row r="219" spans="2:6">
      <c r="B219" s="837">
        <v>45454</v>
      </c>
      <c r="C219">
        <v>7.87</v>
      </c>
      <c r="D219">
        <v>3125407</v>
      </c>
      <c r="E219" s="838">
        <v>-17.157900000000001</v>
      </c>
      <c r="F219">
        <f t="shared" si="3"/>
        <v>3.125407</v>
      </c>
    </row>
    <row r="220" spans="2:6">
      <c r="B220" s="837">
        <v>45453</v>
      </c>
      <c r="C220">
        <v>8.2200000000000006</v>
      </c>
      <c r="D220">
        <v>3636863</v>
      </c>
      <c r="E220" s="838">
        <v>-13.473699999999999</v>
      </c>
      <c r="F220">
        <f t="shared" si="3"/>
        <v>3.636863</v>
      </c>
    </row>
    <row r="221" spans="2:6">
      <c r="B221" s="837">
        <v>45450</v>
      </c>
      <c r="C221">
        <v>7.86</v>
      </c>
      <c r="D221">
        <v>3649259</v>
      </c>
      <c r="E221" s="838">
        <v>-17.263200000000001</v>
      </c>
      <c r="F221">
        <f t="shared" si="3"/>
        <v>3.6492589999999998</v>
      </c>
    </row>
    <row r="222" spans="2:6">
      <c r="B222" s="837">
        <v>45449</v>
      </c>
      <c r="C222">
        <v>7.83</v>
      </c>
      <c r="D222">
        <v>2526360</v>
      </c>
      <c r="E222" s="838">
        <v>-17.578900000000001</v>
      </c>
      <c r="F222">
        <f t="shared" si="3"/>
        <v>2.5263599999999999</v>
      </c>
    </row>
    <row r="223" spans="2:6">
      <c r="B223" s="837">
        <v>45448</v>
      </c>
      <c r="C223">
        <v>7.93</v>
      </c>
      <c r="D223">
        <v>3083075</v>
      </c>
      <c r="E223" s="838">
        <v>-16.526299999999999</v>
      </c>
      <c r="F223">
        <f t="shared" si="3"/>
        <v>3.083075</v>
      </c>
    </row>
    <row r="224" spans="2:6">
      <c r="B224" s="837">
        <v>45447</v>
      </c>
      <c r="C224">
        <v>7.71</v>
      </c>
      <c r="D224">
        <v>3447983</v>
      </c>
      <c r="E224" s="838">
        <v>-18.842099999999999</v>
      </c>
      <c r="F224">
        <f t="shared" si="3"/>
        <v>3.4479829999999998</v>
      </c>
    </row>
    <row r="225" spans="2:6">
      <c r="B225" s="837">
        <v>45446</v>
      </c>
      <c r="C225">
        <v>7.78</v>
      </c>
      <c r="D225">
        <v>4488814</v>
      </c>
      <c r="E225" s="838">
        <v>-18.1053</v>
      </c>
      <c r="F225">
        <f t="shared" si="3"/>
        <v>4.4888139999999996</v>
      </c>
    </row>
    <row r="226" spans="2:6">
      <c r="B226" s="837">
        <v>45443</v>
      </c>
      <c r="C226">
        <v>8.15</v>
      </c>
      <c r="D226">
        <v>3052929</v>
      </c>
      <c r="E226" s="838">
        <v>-14.2105</v>
      </c>
      <c r="F226">
        <f t="shared" si="3"/>
        <v>3.0529289999999998</v>
      </c>
    </row>
    <row r="227" spans="2:6">
      <c r="B227" s="837">
        <v>45442</v>
      </c>
      <c r="C227">
        <v>8.4</v>
      </c>
      <c r="D227">
        <v>3285151</v>
      </c>
      <c r="E227" s="838">
        <v>-11.578900000000001</v>
      </c>
      <c r="F227">
        <f t="shared" si="3"/>
        <v>3.2851509999999999</v>
      </c>
    </row>
    <row r="228" spans="2:6">
      <c r="B228" s="837">
        <v>45441</v>
      </c>
      <c r="C228">
        <v>8.14</v>
      </c>
      <c r="D228">
        <v>3103241</v>
      </c>
      <c r="E228" s="838">
        <v>-14.315799999999999</v>
      </c>
      <c r="F228">
        <f t="shared" si="3"/>
        <v>3.1032410000000001</v>
      </c>
    </row>
    <row r="229" spans="2:6">
      <c r="B229" s="837">
        <v>45440</v>
      </c>
      <c r="C229">
        <v>8.2799999999999994</v>
      </c>
      <c r="D229">
        <v>3529860</v>
      </c>
      <c r="E229" s="838">
        <v>-12.8421</v>
      </c>
      <c r="F229">
        <f t="shared" si="3"/>
        <v>3.5298600000000002</v>
      </c>
    </row>
    <row r="230" spans="2:6">
      <c r="B230" s="837">
        <v>45436</v>
      </c>
      <c r="C230">
        <v>8.43</v>
      </c>
      <c r="D230">
        <v>2592451</v>
      </c>
      <c r="E230" s="838">
        <v>-11.263199999999999</v>
      </c>
      <c r="F230">
        <f t="shared" si="3"/>
        <v>2.5924510000000001</v>
      </c>
    </row>
    <row r="231" spans="2:6">
      <c r="B231" s="837">
        <v>45435</v>
      </c>
      <c r="C231">
        <v>8.32</v>
      </c>
      <c r="D231">
        <v>3948439</v>
      </c>
      <c r="E231" s="838">
        <v>-12.421099999999999</v>
      </c>
      <c r="F231">
        <f t="shared" si="3"/>
        <v>3.948439</v>
      </c>
    </row>
    <row r="232" spans="2:6">
      <c r="B232" s="837">
        <v>45434</v>
      </c>
      <c r="C232">
        <v>8.6</v>
      </c>
      <c r="D232">
        <v>3189599</v>
      </c>
      <c r="E232" s="838">
        <v>-9.4736999999999991</v>
      </c>
      <c r="F232">
        <f t="shared" si="3"/>
        <v>3.1895989999999999</v>
      </c>
    </row>
    <row r="233" spans="2:6">
      <c r="B233" s="837">
        <v>45433</v>
      </c>
      <c r="C233">
        <v>8.48</v>
      </c>
      <c r="D233">
        <v>4746953</v>
      </c>
      <c r="E233" s="838">
        <v>-10.736800000000001</v>
      </c>
      <c r="F233">
        <f t="shared" si="3"/>
        <v>4.7469530000000004</v>
      </c>
    </row>
    <row r="234" spans="2:6">
      <c r="B234" s="837">
        <v>45432</v>
      </c>
      <c r="C234">
        <v>8.8800000000000008</v>
      </c>
      <c r="D234">
        <v>3894845</v>
      </c>
      <c r="E234" s="838">
        <v>-6.5263</v>
      </c>
      <c r="F234">
        <f t="shared" si="3"/>
        <v>3.8948450000000001</v>
      </c>
    </row>
    <row r="235" spans="2:6">
      <c r="B235" s="837">
        <v>45429</v>
      </c>
      <c r="C235">
        <v>8.7799999999999994</v>
      </c>
      <c r="D235">
        <v>2834693</v>
      </c>
      <c r="E235" s="838">
        <v>-7.5789</v>
      </c>
      <c r="F235">
        <f t="shared" si="3"/>
        <v>2.8346930000000001</v>
      </c>
    </row>
    <row r="236" spans="2:6">
      <c r="B236" s="837">
        <v>45428</v>
      </c>
      <c r="C236">
        <v>8.7100000000000009</v>
      </c>
      <c r="D236">
        <v>3187027</v>
      </c>
      <c r="E236" s="838">
        <v>-8.3157999999999994</v>
      </c>
      <c r="F236">
        <f t="shared" si="3"/>
        <v>3.1870270000000001</v>
      </c>
    </row>
    <row r="237" spans="2:6">
      <c r="B237" s="837">
        <v>45427</v>
      </c>
      <c r="C237">
        <v>9</v>
      </c>
      <c r="D237">
        <v>4588643</v>
      </c>
      <c r="E237" s="838">
        <v>-5.2632000000000003</v>
      </c>
      <c r="F237">
        <f t="shared" si="3"/>
        <v>4.5886430000000002</v>
      </c>
    </row>
    <row r="238" spans="2:6">
      <c r="B238" s="837">
        <v>45426</v>
      </c>
      <c r="C238">
        <v>9.2200000000000006</v>
      </c>
      <c r="D238">
        <v>6765406</v>
      </c>
      <c r="E238" s="838">
        <v>-2.9474</v>
      </c>
      <c r="F238">
        <f t="shared" si="3"/>
        <v>6.7654059999999996</v>
      </c>
    </row>
    <row r="239" spans="2:6">
      <c r="B239" s="837">
        <v>45425</v>
      </c>
      <c r="C239">
        <v>8.77</v>
      </c>
      <c r="D239">
        <v>4937571</v>
      </c>
      <c r="E239" s="838">
        <v>-7.6841999999999997</v>
      </c>
      <c r="F239">
        <f t="shared" si="3"/>
        <v>4.9375710000000002</v>
      </c>
    </row>
    <row r="240" spans="2:6">
      <c r="B240" s="837">
        <v>45422</v>
      </c>
      <c r="C240">
        <v>8.7100000000000009</v>
      </c>
      <c r="D240">
        <v>3888579</v>
      </c>
      <c r="E240" s="838">
        <v>-8.3157999999999994</v>
      </c>
      <c r="F240">
        <f t="shared" si="3"/>
        <v>3.888579</v>
      </c>
    </row>
    <row r="241" spans="2:6">
      <c r="B241" s="837">
        <v>45421</v>
      </c>
      <c r="C241">
        <v>9.1999999999999993</v>
      </c>
      <c r="D241">
        <v>6360680</v>
      </c>
      <c r="E241" s="838">
        <v>-3.1579000000000002</v>
      </c>
      <c r="F241">
        <f t="shared" si="3"/>
        <v>6.3606800000000003</v>
      </c>
    </row>
    <row r="242" spans="2:6">
      <c r="B242" s="837">
        <v>45420</v>
      </c>
      <c r="C242">
        <v>8.7799999999999994</v>
      </c>
      <c r="D242">
        <v>4531480</v>
      </c>
      <c r="E242" s="838">
        <v>-7.5789</v>
      </c>
      <c r="F242">
        <f t="shared" si="3"/>
        <v>4.5314800000000002</v>
      </c>
    </row>
    <row r="243" spans="2:6">
      <c r="B243" s="837">
        <v>45419</v>
      </c>
      <c r="C243">
        <v>8.6300000000000008</v>
      </c>
      <c r="D243">
        <v>6884411</v>
      </c>
      <c r="E243" s="838">
        <v>-9.1578999999999997</v>
      </c>
      <c r="F243">
        <f t="shared" si="3"/>
        <v>6.8844110000000001</v>
      </c>
    </row>
    <row r="244" spans="2:6">
      <c r="B244" s="837">
        <v>45418</v>
      </c>
      <c r="C244">
        <v>9.2799999999999994</v>
      </c>
      <c r="D244">
        <v>7959645</v>
      </c>
      <c r="E244" s="838">
        <v>-2.3157999999999999</v>
      </c>
      <c r="F244">
        <f t="shared" si="3"/>
        <v>7.9596450000000001</v>
      </c>
    </row>
    <row r="245" spans="2:6">
      <c r="B245" s="837">
        <v>45415</v>
      </c>
      <c r="C245">
        <v>8.94</v>
      </c>
      <c r="D245">
        <v>3924288</v>
      </c>
      <c r="E245" s="838">
        <v>-5.8947000000000003</v>
      </c>
      <c r="F245">
        <f t="shared" si="3"/>
        <v>3.9242880000000002</v>
      </c>
    </row>
    <row r="246" spans="2:6">
      <c r="B246" s="837">
        <v>45414</v>
      </c>
      <c r="C246">
        <v>9</v>
      </c>
      <c r="D246">
        <v>4342696</v>
      </c>
      <c r="E246" s="838">
        <v>-5.2632000000000003</v>
      </c>
      <c r="F246">
        <f t="shared" si="3"/>
        <v>4.3426960000000001</v>
      </c>
    </row>
    <row r="247" spans="2:6">
      <c r="B247" s="837">
        <v>45413</v>
      </c>
      <c r="C247">
        <v>8.75</v>
      </c>
      <c r="D247">
        <v>3707166</v>
      </c>
      <c r="E247" s="838">
        <v>-7.8947000000000003</v>
      </c>
      <c r="F247">
        <f t="shared" si="3"/>
        <v>3.707166</v>
      </c>
    </row>
    <row r="248" spans="2:6">
      <c r="B248" s="837">
        <v>45412</v>
      </c>
      <c r="C248">
        <v>8.5500000000000007</v>
      </c>
      <c r="D248">
        <v>3785158</v>
      </c>
      <c r="E248" s="838">
        <v>-10</v>
      </c>
      <c r="F248">
        <f t="shared" si="3"/>
        <v>3.785158</v>
      </c>
    </row>
    <row r="249" spans="2:6">
      <c r="B249" s="837">
        <v>45411</v>
      </c>
      <c r="C249">
        <v>8.92</v>
      </c>
      <c r="D249">
        <v>5907834</v>
      </c>
      <c r="E249" s="838">
        <v>-6.1052999999999997</v>
      </c>
      <c r="F249">
        <f t="shared" si="3"/>
        <v>5.9078340000000003</v>
      </c>
    </row>
    <row r="250" spans="2:6">
      <c r="B250" s="837">
        <v>45408</v>
      </c>
      <c r="C250">
        <v>8.9700000000000006</v>
      </c>
      <c r="D250">
        <v>6782534</v>
      </c>
      <c r="E250" s="838">
        <v>-5.5789</v>
      </c>
      <c r="F250">
        <f t="shared" si="3"/>
        <v>6.7825340000000001</v>
      </c>
    </row>
    <row r="251" spans="2:6">
      <c r="B251" s="837">
        <v>45407</v>
      </c>
      <c r="C251">
        <v>8.18</v>
      </c>
      <c r="D251">
        <v>3453513</v>
      </c>
      <c r="E251" s="838">
        <v>-13.8947</v>
      </c>
      <c r="F251">
        <f t="shared" si="3"/>
        <v>3.4535130000000001</v>
      </c>
    </row>
    <row r="252" spans="2:6">
      <c r="B252" s="837">
        <v>45406</v>
      </c>
      <c r="C252">
        <v>8.1999999999999993</v>
      </c>
      <c r="D252">
        <v>5987292</v>
      </c>
      <c r="E252" s="838">
        <v>-13.684200000000001</v>
      </c>
      <c r="F252">
        <f t="shared" si="3"/>
        <v>5.9872920000000001</v>
      </c>
    </row>
    <row r="253" spans="2:6">
      <c r="B253" s="837">
        <v>45405</v>
      </c>
      <c r="C253">
        <v>7.97</v>
      </c>
      <c r="D253">
        <v>6747556</v>
      </c>
      <c r="E253" s="838">
        <v>-16.1053</v>
      </c>
      <c r="F253">
        <f t="shared" si="3"/>
        <v>6.7475560000000003</v>
      </c>
    </row>
    <row r="254" spans="2:6">
      <c r="B254" s="837">
        <v>45404</v>
      </c>
      <c r="C254">
        <v>7.49</v>
      </c>
      <c r="D254">
        <v>6174898</v>
      </c>
      <c r="E254" s="838">
        <v>-21.157900000000001</v>
      </c>
      <c r="F254">
        <f t="shared" si="3"/>
        <v>6.1748979999999998</v>
      </c>
    </row>
    <row r="255" spans="2:6">
      <c r="B255" s="837">
        <v>45401</v>
      </c>
      <c r="C255">
        <v>7.09</v>
      </c>
      <c r="D255">
        <v>4877776</v>
      </c>
      <c r="E255" s="838">
        <v>-25.368400000000001</v>
      </c>
      <c r="F255">
        <f t="shared" si="3"/>
        <v>4.8777759999999999</v>
      </c>
    </row>
    <row r="256" spans="2:6">
      <c r="B256" s="837">
        <v>45400</v>
      </c>
      <c r="C256">
        <v>7.37</v>
      </c>
      <c r="D256">
        <v>4138663</v>
      </c>
      <c r="E256" s="838">
        <v>-22.421099999999999</v>
      </c>
      <c r="F256">
        <f t="shared" si="3"/>
        <v>4.1386630000000002</v>
      </c>
    </row>
    <row r="257" spans="2:6">
      <c r="B257" s="837">
        <v>45399</v>
      </c>
      <c r="C257">
        <v>7.28</v>
      </c>
      <c r="D257">
        <v>4038997</v>
      </c>
      <c r="E257" s="838">
        <v>-23.368400000000001</v>
      </c>
      <c r="F257">
        <f t="shared" si="3"/>
        <v>4.0389970000000002</v>
      </c>
    </row>
    <row r="258" spans="2:6">
      <c r="B258" s="837">
        <v>45398</v>
      </c>
      <c r="C258">
        <v>7.52</v>
      </c>
      <c r="D258">
        <v>5415169</v>
      </c>
      <c r="E258" s="838">
        <v>-20.842099999999999</v>
      </c>
      <c r="F258">
        <f t="shared" si="3"/>
        <v>5.4151689999999997</v>
      </c>
    </row>
    <row r="259" spans="2:6">
      <c r="B259" s="837">
        <v>45397</v>
      </c>
      <c r="C259">
        <v>7.53</v>
      </c>
      <c r="D259">
        <v>6593584</v>
      </c>
      <c r="E259" s="838">
        <v>-20.736799999999999</v>
      </c>
      <c r="F259">
        <f t="shared" si="3"/>
        <v>6.5935839999999999</v>
      </c>
    </row>
    <row r="260" spans="2:6">
      <c r="B260" s="837">
        <v>45394</v>
      </c>
      <c r="C260">
        <v>8.0299999999999994</v>
      </c>
      <c r="D260">
        <v>3625928</v>
      </c>
      <c r="E260" s="838">
        <v>-15.473699999999999</v>
      </c>
      <c r="F260">
        <f t="shared" si="3"/>
        <v>3.625928</v>
      </c>
    </row>
    <row r="261" spans="2:6">
      <c r="B261" s="837">
        <v>45393</v>
      </c>
      <c r="C261">
        <v>8.24</v>
      </c>
      <c r="D261">
        <v>4254490</v>
      </c>
      <c r="E261" s="838">
        <v>-13.263199999999999</v>
      </c>
      <c r="F261">
        <f t="shared" si="3"/>
        <v>4.2544899999999997</v>
      </c>
    </row>
    <row r="262" spans="2:6">
      <c r="B262" s="837">
        <v>45392</v>
      </c>
      <c r="C262">
        <v>8</v>
      </c>
      <c r="D262">
        <v>6775318</v>
      </c>
      <c r="E262" s="838">
        <v>-15.7895</v>
      </c>
      <c r="F262">
        <f t="shared" ref="F262:F325" si="4">D262/1000000</f>
        <v>6.7753180000000004</v>
      </c>
    </row>
    <row r="263" spans="2:6">
      <c r="B263" s="837">
        <v>45391</v>
      </c>
      <c r="C263">
        <v>8.4</v>
      </c>
      <c r="D263">
        <v>5156771</v>
      </c>
      <c r="E263" s="838">
        <v>-11.578900000000001</v>
      </c>
      <c r="F263">
        <f t="shared" si="4"/>
        <v>5.156771</v>
      </c>
    </row>
    <row r="264" spans="2:6">
      <c r="B264" s="837">
        <v>45390</v>
      </c>
      <c r="C264">
        <v>8.3699999999999992</v>
      </c>
      <c r="D264">
        <v>12103359</v>
      </c>
      <c r="E264" s="838">
        <v>-11.8947</v>
      </c>
      <c r="F264">
        <f t="shared" si="4"/>
        <v>12.103358999999999</v>
      </c>
    </row>
    <row r="265" spans="2:6">
      <c r="B265" s="837">
        <v>45387</v>
      </c>
      <c r="C265">
        <v>9.2100000000000009</v>
      </c>
      <c r="D265">
        <v>4363082</v>
      </c>
      <c r="E265" s="838">
        <v>-3.0526</v>
      </c>
      <c r="F265">
        <f t="shared" si="4"/>
        <v>4.3630820000000003</v>
      </c>
    </row>
    <row r="266" spans="2:6">
      <c r="B266" s="837">
        <v>45386</v>
      </c>
      <c r="C266">
        <v>9.1199999999999992</v>
      </c>
      <c r="D266">
        <v>5101997</v>
      </c>
      <c r="E266" s="838">
        <v>-4</v>
      </c>
      <c r="F266">
        <f t="shared" si="4"/>
        <v>5.1019969999999999</v>
      </c>
    </row>
    <row r="267" spans="2:6">
      <c r="B267" s="837">
        <v>45385</v>
      </c>
      <c r="C267">
        <v>9.32</v>
      </c>
      <c r="D267">
        <v>4364123</v>
      </c>
      <c r="E267" s="838">
        <v>-1.8947000000000001</v>
      </c>
      <c r="F267">
        <f t="shared" si="4"/>
        <v>4.3641230000000002</v>
      </c>
    </row>
    <row r="268" spans="2:6">
      <c r="B268" s="837">
        <v>45384</v>
      </c>
      <c r="C268">
        <v>9.36</v>
      </c>
      <c r="D268">
        <v>5192315</v>
      </c>
      <c r="E268" s="838">
        <v>-1.4737</v>
      </c>
      <c r="F268">
        <f t="shared" si="4"/>
        <v>5.1923149999999998</v>
      </c>
    </row>
    <row r="269" spans="2:6">
      <c r="B269" s="837">
        <v>45383</v>
      </c>
      <c r="C269">
        <v>9.99</v>
      </c>
      <c r="D269">
        <v>4462335</v>
      </c>
      <c r="E269" s="838">
        <v>5.1578999999999997</v>
      </c>
      <c r="F269">
        <f t="shared" si="4"/>
        <v>4.4623350000000004</v>
      </c>
    </row>
    <row r="270" spans="2:6">
      <c r="B270" s="837">
        <v>45379</v>
      </c>
      <c r="C270">
        <v>9.99</v>
      </c>
      <c r="D270">
        <v>5696592</v>
      </c>
      <c r="E270" s="838">
        <v>5.1578999999999997</v>
      </c>
      <c r="F270">
        <f t="shared" si="4"/>
        <v>5.6965919999999999</v>
      </c>
    </row>
    <row r="271" spans="2:6">
      <c r="B271" s="837">
        <v>45378</v>
      </c>
      <c r="C271">
        <v>9.5500000000000007</v>
      </c>
      <c r="D271">
        <v>4185911</v>
      </c>
      <c r="E271" s="838">
        <v>0.52629999999999999</v>
      </c>
      <c r="F271">
        <f t="shared" si="4"/>
        <v>4.1859109999999999</v>
      </c>
    </row>
    <row r="272" spans="2:6">
      <c r="B272" s="837">
        <v>45377</v>
      </c>
      <c r="C272">
        <v>9.11</v>
      </c>
      <c r="D272">
        <v>5806284</v>
      </c>
      <c r="E272" s="838">
        <v>-4.1052999999999997</v>
      </c>
      <c r="F272">
        <f t="shared" si="4"/>
        <v>5.8062839999999998</v>
      </c>
    </row>
    <row r="273" spans="2:6">
      <c r="B273" s="837">
        <v>45376</v>
      </c>
      <c r="C273">
        <v>9.5500000000000007</v>
      </c>
      <c r="D273">
        <v>3969775</v>
      </c>
      <c r="E273" s="838">
        <v>0.52629999999999999</v>
      </c>
      <c r="F273">
        <f t="shared" si="4"/>
        <v>3.9697749999999998</v>
      </c>
    </row>
    <row r="274" spans="2:6">
      <c r="B274" s="837">
        <v>45373</v>
      </c>
      <c r="C274">
        <v>9.39</v>
      </c>
      <c r="D274">
        <v>3168808</v>
      </c>
      <c r="E274" s="838">
        <v>-1.1578999999999999</v>
      </c>
      <c r="F274">
        <f t="shared" si="4"/>
        <v>3.1688079999999998</v>
      </c>
    </row>
    <row r="275" spans="2:6">
      <c r="B275" s="837">
        <v>45372</v>
      </c>
      <c r="C275">
        <v>9.42</v>
      </c>
      <c r="D275">
        <v>4876244</v>
      </c>
      <c r="E275" s="838">
        <v>-0.84209999999999996</v>
      </c>
      <c r="F275">
        <f t="shared" si="4"/>
        <v>4.8762439999999998</v>
      </c>
    </row>
    <row r="276" spans="2:6">
      <c r="B276" s="837">
        <v>45371</v>
      </c>
      <c r="C276">
        <v>9.58</v>
      </c>
      <c r="D276">
        <v>5210935</v>
      </c>
      <c r="E276" s="838">
        <v>0.84209999999999996</v>
      </c>
      <c r="F276">
        <f t="shared" si="4"/>
        <v>5.2109350000000001</v>
      </c>
    </row>
    <row r="277" spans="2:6">
      <c r="B277" s="837">
        <v>45370</v>
      </c>
      <c r="C277">
        <v>9.24</v>
      </c>
      <c r="D277">
        <v>6808870</v>
      </c>
      <c r="E277" s="838">
        <v>-2.7368000000000001</v>
      </c>
      <c r="F277">
        <f t="shared" si="4"/>
        <v>6.8088699999999998</v>
      </c>
    </row>
    <row r="278" spans="2:6">
      <c r="B278" s="837">
        <v>45369</v>
      </c>
      <c r="C278">
        <v>9.5399999999999991</v>
      </c>
      <c r="D278">
        <v>5450571</v>
      </c>
      <c r="E278" s="838">
        <v>0.42109999999999997</v>
      </c>
      <c r="F278">
        <f t="shared" si="4"/>
        <v>5.4505710000000001</v>
      </c>
    </row>
    <row r="279" spans="2:6">
      <c r="B279" s="837">
        <v>45366</v>
      </c>
      <c r="C279">
        <v>9.31</v>
      </c>
      <c r="D279">
        <v>6442915</v>
      </c>
      <c r="E279" s="838">
        <v>-2</v>
      </c>
      <c r="F279">
        <f t="shared" si="4"/>
        <v>6.4429150000000002</v>
      </c>
    </row>
    <row r="280" spans="2:6">
      <c r="B280" s="837">
        <v>45365</v>
      </c>
      <c r="C280">
        <v>9.1999999999999993</v>
      </c>
      <c r="D280">
        <v>7697091</v>
      </c>
      <c r="E280" s="838">
        <v>-3.1579000000000002</v>
      </c>
      <c r="F280">
        <f t="shared" si="4"/>
        <v>7.6970910000000003</v>
      </c>
    </row>
    <row r="281" spans="2:6">
      <c r="B281" s="837">
        <v>45364</v>
      </c>
      <c r="C281">
        <v>9.6300000000000008</v>
      </c>
      <c r="D281">
        <v>7587962</v>
      </c>
      <c r="E281" s="838">
        <v>1.3684000000000001</v>
      </c>
      <c r="F281">
        <f t="shared" si="4"/>
        <v>7.5879620000000001</v>
      </c>
    </row>
    <row r="282" spans="2:6">
      <c r="B282" s="837">
        <v>45363</v>
      </c>
      <c r="C282">
        <v>9.8699999999999992</v>
      </c>
      <c r="D282">
        <v>8330320</v>
      </c>
      <c r="E282" s="838">
        <v>3.8946999999999998</v>
      </c>
      <c r="F282">
        <f t="shared" si="4"/>
        <v>8.3303200000000004</v>
      </c>
    </row>
    <row r="283" spans="2:6">
      <c r="B283" s="837">
        <v>45362</v>
      </c>
      <c r="C283">
        <v>9.7899999999999991</v>
      </c>
      <c r="D283">
        <v>11908270</v>
      </c>
      <c r="E283" s="838">
        <v>3.0526</v>
      </c>
      <c r="F283">
        <f t="shared" si="4"/>
        <v>11.90827</v>
      </c>
    </row>
    <row r="284" spans="2:6">
      <c r="B284" s="837">
        <v>45359</v>
      </c>
      <c r="C284">
        <v>10.81</v>
      </c>
      <c r="D284">
        <v>17133608</v>
      </c>
      <c r="E284" s="838">
        <v>13.7895</v>
      </c>
      <c r="F284">
        <f t="shared" si="4"/>
        <v>17.133607999999999</v>
      </c>
    </row>
    <row r="285" spans="2:6">
      <c r="B285" s="837">
        <v>45358</v>
      </c>
      <c r="C285">
        <v>10.9</v>
      </c>
      <c r="D285">
        <v>12969466</v>
      </c>
      <c r="E285" s="838">
        <v>14.736800000000001</v>
      </c>
      <c r="F285">
        <f t="shared" si="4"/>
        <v>12.969466000000001</v>
      </c>
    </row>
    <row r="286" spans="2:6">
      <c r="B286" s="837">
        <v>45357</v>
      </c>
      <c r="C286">
        <v>9.92</v>
      </c>
      <c r="D286">
        <v>9924269</v>
      </c>
      <c r="E286" s="838">
        <v>4.4211</v>
      </c>
      <c r="F286">
        <f t="shared" si="4"/>
        <v>9.9242690000000007</v>
      </c>
    </row>
    <row r="287" spans="2:6">
      <c r="B287" s="837">
        <v>45356</v>
      </c>
      <c r="C287">
        <v>9.3699999999999992</v>
      </c>
      <c r="D287">
        <v>13959069</v>
      </c>
      <c r="E287" s="838">
        <v>-1.3684000000000001</v>
      </c>
      <c r="F287">
        <f t="shared" si="4"/>
        <v>13.959069</v>
      </c>
    </row>
    <row r="288" spans="2:6">
      <c r="B288" s="837">
        <v>45355</v>
      </c>
      <c r="C288">
        <v>10.09</v>
      </c>
      <c r="D288">
        <v>10708557</v>
      </c>
      <c r="E288" s="838">
        <v>6.2104999999999997</v>
      </c>
      <c r="F288">
        <f t="shared" si="4"/>
        <v>10.708557000000001</v>
      </c>
    </row>
    <row r="289" spans="2:6">
      <c r="B289" s="837">
        <v>45352</v>
      </c>
      <c r="C289">
        <v>10.66</v>
      </c>
      <c r="D289">
        <v>10199115</v>
      </c>
      <c r="E289" s="838">
        <v>12.2105</v>
      </c>
      <c r="F289">
        <f t="shared" si="4"/>
        <v>10.199115000000001</v>
      </c>
    </row>
    <row r="290" spans="2:6">
      <c r="B290" s="837">
        <v>45351</v>
      </c>
      <c r="C290">
        <v>10.36</v>
      </c>
      <c r="D290">
        <v>26317478</v>
      </c>
      <c r="E290" s="838">
        <v>9.0526</v>
      </c>
      <c r="F290">
        <f t="shared" si="4"/>
        <v>26.317478000000001</v>
      </c>
    </row>
    <row r="291" spans="2:6">
      <c r="B291" s="837">
        <v>45350</v>
      </c>
      <c r="C291">
        <v>11.26</v>
      </c>
      <c r="D291">
        <v>12725134</v>
      </c>
      <c r="E291" s="838">
        <v>18.526299999999999</v>
      </c>
      <c r="F291">
        <f t="shared" si="4"/>
        <v>12.725134000000001</v>
      </c>
    </row>
    <row r="292" spans="2:6">
      <c r="B292" s="837">
        <v>45349</v>
      </c>
      <c r="C292">
        <v>11.57</v>
      </c>
      <c r="D292">
        <v>7446969</v>
      </c>
      <c r="E292" s="838">
        <v>21.7895</v>
      </c>
      <c r="F292">
        <f t="shared" si="4"/>
        <v>7.4469690000000002</v>
      </c>
    </row>
    <row r="293" spans="2:6">
      <c r="B293" s="837">
        <v>45348</v>
      </c>
      <c r="C293">
        <v>11.24</v>
      </c>
      <c r="D293">
        <v>6379250</v>
      </c>
      <c r="E293" s="838">
        <v>18.315799999999999</v>
      </c>
      <c r="F293">
        <f t="shared" si="4"/>
        <v>6.3792499999999999</v>
      </c>
    </row>
    <row r="294" spans="2:6">
      <c r="B294" s="837">
        <v>45345</v>
      </c>
      <c r="C294">
        <v>10.65</v>
      </c>
      <c r="D294">
        <v>4680166</v>
      </c>
      <c r="E294" s="838">
        <v>12.1053</v>
      </c>
      <c r="F294">
        <f t="shared" si="4"/>
        <v>4.6801659999999998</v>
      </c>
    </row>
    <row r="295" spans="2:6">
      <c r="B295" s="837">
        <v>45344</v>
      </c>
      <c r="C295">
        <v>10.99</v>
      </c>
      <c r="D295">
        <v>5899635</v>
      </c>
      <c r="E295" s="838">
        <v>15.684200000000001</v>
      </c>
      <c r="F295">
        <f t="shared" si="4"/>
        <v>5.899635</v>
      </c>
    </row>
    <row r="296" spans="2:6">
      <c r="B296" s="837">
        <v>45343</v>
      </c>
      <c r="C296">
        <v>10.63</v>
      </c>
      <c r="D296">
        <v>4109474</v>
      </c>
      <c r="E296" s="838">
        <v>11.8947</v>
      </c>
      <c r="F296">
        <f t="shared" si="4"/>
        <v>4.1094739999999996</v>
      </c>
    </row>
    <row r="297" spans="2:6">
      <c r="B297" s="837">
        <v>45342</v>
      </c>
      <c r="C297">
        <v>10.62</v>
      </c>
      <c r="D297">
        <v>5079747</v>
      </c>
      <c r="E297" s="838">
        <v>11.7895</v>
      </c>
      <c r="F297">
        <f t="shared" si="4"/>
        <v>5.0797470000000002</v>
      </c>
    </row>
    <row r="298" spans="2:6">
      <c r="B298" s="837">
        <v>45338</v>
      </c>
      <c r="C298">
        <v>10.82</v>
      </c>
      <c r="D298">
        <v>5774466</v>
      </c>
      <c r="E298" s="838">
        <v>13.8947</v>
      </c>
      <c r="F298">
        <f t="shared" si="4"/>
        <v>5.7744660000000003</v>
      </c>
    </row>
    <row r="299" spans="2:6">
      <c r="B299" s="837">
        <v>45337</v>
      </c>
      <c r="C299">
        <v>11.01</v>
      </c>
      <c r="D299">
        <v>5129275</v>
      </c>
      <c r="E299" s="838">
        <v>15.8947</v>
      </c>
      <c r="F299">
        <f t="shared" si="4"/>
        <v>5.1292749999999998</v>
      </c>
    </row>
    <row r="300" spans="2:6">
      <c r="B300" s="837">
        <v>45336</v>
      </c>
      <c r="C300">
        <v>10.93</v>
      </c>
      <c r="D300">
        <v>5604434</v>
      </c>
      <c r="E300" s="838">
        <v>15.0526</v>
      </c>
      <c r="F300">
        <f t="shared" si="4"/>
        <v>5.6044340000000004</v>
      </c>
    </row>
    <row r="301" spans="2:6">
      <c r="B301" s="837">
        <v>45335</v>
      </c>
      <c r="C301">
        <v>10.54</v>
      </c>
      <c r="D301">
        <v>7615518</v>
      </c>
      <c r="E301" s="838">
        <v>10.9474</v>
      </c>
      <c r="F301">
        <f t="shared" si="4"/>
        <v>7.6155179999999998</v>
      </c>
    </row>
    <row r="302" spans="2:6">
      <c r="B302" s="837">
        <v>45334</v>
      </c>
      <c r="C302">
        <v>11.62</v>
      </c>
      <c r="D302">
        <v>7744256</v>
      </c>
      <c r="E302" s="838">
        <v>22.315799999999999</v>
      </c>
      <c r="F302">
        <f t="shared" si="4"/>
        <v>7.744256</v>
      </c>
    </row>
    <row r="303" spans="2:6">
      <c r="B303" s="837">
        <v>45331</v>
      </c>
      <c r="C303">
        <v>11.16</v>
      </c>
      <c r="D303">
        <v>5637256</v>
      </c>
      <c r="E303" s="838">
        <v>17.473700000000001</v>
      </c>
      <c r="F303">
        <f t="shared" si="4"/>
        <v>5.6372559999999998</v>
      </c>
    </row>
    <row r="304" spans="2:6">
      <c r="B304" s="837">
        <v>45330</v>
      </c>
      <c r="C304">
        <v>10.9</v>
      </c>
      <c r="D304">
        <v>5687713</v>
      </c>
      <c r="E304" s="838">
        <v>14.736800000000001</v>
      </c>
      <c r="F304">
        <f t="shared" si="4"/>
        <v>5.6877129999999996</v>
      </c>
    </row>
    <row r="305" spans="2:6">
      <c r="B305" s="837">
        <v>45329</v>
      </c>
      <c r="C305">
        <v>10.41</v>
      </c>
      <c r="D305">
        <v>4608736</v>
      </c>
      <c r="E305" s="838">
        <v>9.5789000000000009</v>
      </c>
      <c r="F305">
        <f t="shared" si="4"/>
        <v>4.6087360000000004</v>
      </c>
    </row>
    <row r="306" spans="2:6">
      <c r="B306" s="837">
        <v>45328</v>
      </c>
      <c r="C306">
        <v>10.44</v>
      </c>
      <c r="D306">
        <v>5674097</v>
      </c>
      <c r="E306" s="838">
        <v>9.8947000000000003</v>
      </c>
      <c r="F306">
        <f t="shared" si="4"/>
        <v>5.6740969999999997</v>
      </c>
    </row>
    <row r="307" spans="2:6">
      <c r="B307" s="837">
        <v>45327</v>
      </c>
      <c r="C307">
        <v>9.8699999999999992</v>
      </c>
      <c r="D307">
        <v>5647793</v>
      </c>
      <c r="E307" s="838">
        <v>3.8946999999999998</v>
      </c>
      <c r="F307">
        <f t="shared" si="4"/>
        <v>5.6477930000000001</v>
      </c>
    </row>
    <row r="308" spans="2:6">
      <c r="B308" s="837">
        <v>45324</v>
      </c>
      <c r="C308">
        <v>10.27</v>
      </c>
      <c r="D308">
        <v>5139738</v>
      </c>
      <c r="E308" s="838">
        <v>8.1052999999999997</v>
      </c>
      <c r="F308">
        <f t="shared" si="4"/>
        <v>5.1397380000000004</v>
      </c>
    </row>
    <row r="309" spans="2:6">
      <c r="B309" s="837">
        <v>45323</v>
      </c>
      <c r="C309">
        <v>10.24</v>
      </c>
      <c r="D309">
        <v>7506034</v>
      </c>
      <c r="E309" s="838">
        <v>7.7895000000000003</v>
      </c>
      <c r="F309">
        <f t="shared" si="4"/>
        <v>7.5060339999999997</v>
      </c>
    </row>
    <row r="310" spans="2:6">
      <c r="B310" s="837">
        <v>45322</v>
      </c>
      <c r="C310">
        <v>10.27</v>
      </c>
      <c r="D310">
        <v>7529454</v>
      </c>
      <c r="E310" s="838">
        <v>8.1052999999999997</v>
      </c>
      <c r="F310">
        <f t="shared" si="4"/>
        <v>7.5294540000000003</v>
      </c>
    </row>
    <row r="311" spans="2:6">
      <c r="B311" s="837">
        <v>45321</v>
      </c>
      <c r="C311">
        <v>10.69</v>
      </c>
      <c r="D311">
        <v>5563726</v>
      </c>
      <c r="E311" s="838">
        <v>12.526300000000001</v>
      </c>
      <c r="F311">
        <f t="shared" si="4"/>
        <v>5.5637259999999999</v>
      </c>
    </row>
    <row r="312" spans="2:6">
      <c r="B312" s="837">
        <v>45320</v>
      </c>
      <c r="C312">
        <v>11.21</v>
      </c>
      <c r="D312">
        <v>4820083</v>
      </c>
      <c r="E312" s="838">
        <v>18</v>
      </c>
      <c r="F312">
        <f t="shared" si="4"/>
        <v>4.8200830000000003</v>
      </c>
    </row>
    <row r="313" spans="2:6">
      <c r="B313" s="837">
        <v>45317</v>
      </c>
      <c r="C313">
        <v>11.01</v>
      </c>
      <c r="D313">
        <v>4796061</v>
      </c>
      <c r="E313" s="838">
        <v>15.8947</v>
      </c>
      <c r="F313">
        <f t="shared" si="4"/>
        <v>4.7960609999999999</v>
      </c>
    </row>
    <row r="314" spans="2:6">
      <c r="B314" s="837">
        <v>45316</v>
      </c>
      <c r="C314">
        <v>11.28</v>
      </c>
      <c r="D314">
        <v>7254597</v>
      </c>
      <c r="E314" s="838">
        <v>18.736799999999999</v>
      </c>
      <c r="F314">
        <f t="shared" si="4"/>
        <v>7.2545970000000004</v>
      </c>
    </row>
    <row r="315" spans="2:6">
      <c r="B315" s="837">
        <v>45315</v>
      </c>
      <c r="C315">
        <v>11.07</v>
      </c>
      <c r="D315">
        <v>5092367</v>
      </c>
      <c r="E315" s="838">
        <v>16.526299999999999</v>
      </c>
      <c r="F315">
        <f t="shared" si="4"/>
        <v>5.0923670000000003</v>
      </c>
    </row>
    <row r="316" spans="2:6">
      <c r="B316" s="837">
        <v>45314</v>
      </c>
      <c r="C316">
        <v>11.75</v>
      </c>
      <c r="D316">
        <v>5291401</v>
      </c>
      <c r="E316" s="838">
        <v>23.684200000000001</v>
      </c>
      <c r="F316">
        <f t="shared" si="4"/>
        <v>5.2914009999999996</v>
      </c>
    </row>
    <row r="317" spans="2:6">
      <c r="B317" s="837">
        <v>45313</v>
      </c>
      <c r="C317">
        <v>11.72</v>
      </c>
      <c r="D317">
        <v>7254920</v>
      </c>
      <c r="E317" s="838">
        <v>23.368400000000001</v>
      </c>
      <c r="F317">
        <f t="shared" si="4"/>
        <v>7.2549200000000003</v>
      </c>
    </row>
    <row r="318" spans="2:6">
      <c r="B318" s="837">
        <v>45310</v>
      </c>
      <c r="C318">
        <v>10.85</v>
      </c>
      <c r="D318">
        <v>5365696</v>
      </c>
      <c r="E318" s="838">
        <v>14.2105</v>
      </c>
      <c r="F318">
        <f t="shared" si="4"/>
        <v>5.3656959999999998</v>
      </c>
    </row>
    <row r="319" spans="2:6">
      <c r="B319" s="837">
        <v>45309</v>
      </c>
      <c r="C319">
        <v>10.72</v>
      </c>
      <c r="D319">
        <v>6329262</v>
      </c>
      <c r="E319" s="838">
        <v>12.8421</v>
      </c>
      <c r="F319">
        <f t="shared" si="4"/>
        <v>6.3292619999999999</v>
      </c>
    </row>
    <row r="320" spans="2:6">
      <c r="B320" s="837">
        <v>45308</v>
      </c>
      <c r="C320">
        <v>10.85</v>
      </c>
      <c r="D320">
        <v>4866353</v>
      </c>
      <c r="E320" s="838">
        <v>14.2105</v>
      </c>
      <c r="F320">
        <f t="shared" si="4"/>
        <v>4.8663530000000002</v>
      </c>
    </row>
    <row r="321" spans="2:6">
      <c r="B321" s="837">
        <v>45307</v>
      </c>
      <c r="C321">
        <v>10.97</v>
      </c>
      <c r="D321">
        <v>5654503</v>
      </c>
      <c r="E321" s="838">
        <v>15.473699999999999</v>
      </c>
      <c r="F321">
        <f t="shared" si="4"/>
        <v>5.6545030000000001</v>
      </c>
    </row>
    <row r="322" spans="2:6">
      <c r="B322" s="837">
        <v>45303</v>
      </c>
      <c r="C322">
        <v>11.4</v>
      </c>
      <c r="D322">
        <v>4476916</v>
      </c>
      <c r="E322" s="838">
        <v>20</v>
      </c>
      <c r="F322">
        <f t="shared" si="4"/>
        <v>4.4769160000000001</v>
      </c>
    </row>
    <row r="323" spans="2:6">
      <c r="B323" s="837">
        <v>45302</v>
      </c>
      <c r="C323">
        <v>11.56</v>
      </c>
      <c r="D323">
        <v>7131271</v>
      </c>
      <c r="E323" s="838">
        <v>21.684200000000001</v>
      </c>
      <c r="F323">
        <f t="shared" si="4"/>
        <v>7.1312709999999999</v>
      </c>
    </row>
    <row r="324" spans="2:6">
      <c r="B324" s="837">
        <v>45301</v>
      </c>
      <c r="C324">
        <v>12.09</v>
      </c>
      <c r="D324">
        <v>7384831</v>
      </c>
      <c r="E324" s="838">
        <v>27.263200000000001</v>
      </c>
      <c r="F324">
        <f t="shared" si="4"/>
        <v>7.3848310000000001</v>
      </c>
    </row>
    <row r="325" spans="2:6">
      <c r="B325" s="837">
        <v>45300</v>
      </c>
      <c r="C325">
        <v>12.45</v>
      </c>
      <c r="D325">
        <v>4920947</v>
      </c>
      <c r="E325" s="838">
        <v>31.052600000000002</v>
      </c>
      <c r="F325">
        <f t="shared" si="4"/>
        <v>4.920947</v>
      </c>
    </row>
    <row r="326" spans="2:6">
      <c r="B326" s="837">
        <v>45299</v>
      </c>
      <c r="C326">
        <v>12.64</v>
      </c>
      <c r="D326">
        <v>6044317</v>
      </c>
      <c r="E326" s="838">
        <v>33.052599999999998</v>
      </c>
      <c r="F326">
        <f t="shared" ref="F326:F389" si="5">D326/1000000</f>
        <v>6.0443170000000004</v>
      </c>
    </row>
    <row r="327" spans="2:6">
      <c r="B327" s="837">
        <v>45296</v>
      </c>
      <c r="C327">
        <v>12</v>
      </c>
      <c r="D327">
        <v>6103555</v>
      </c>
      <c r="E327" s="838">
        <v>26.315799999999999</v>
      </c>
      <c r="F327">
        <f t="shared" si="5"/>
        <v>6.1035550000000001</v>
      </c>
    </row>
    <row r="328" spans="2:6">
      <c r="B328" s="837">
        <v>45295</v>
      </c>
      <c r="C328">
        <v>12.28</v>
      </c>
      <c r="D328">
        <v>7264447</v>
      </c>
      <c r="E328" s="838">
        <v>29.263200000000001</v>
      </c>
      <c r="F328">
        <f t="shared" si="5"/>
        <v>7.2644469999999997</v>
      </c>
    </row>
    <row r="329" spans="2:6">
      <c r="B329" s="837">
        <v>45294</v>
      </c>
      <c r="C329">
        <v>11.93</v>
      </c>
      <c r="D329">
        <v>6225723</v>
      </c>
      <c r="E329" s="838">
        <v>25.578900000000001</v>
      </c>
      <c r="F329">
        <f t="shared" si="5"/>
        <v>6.2257230000000003</v>
      </c>
    </row>
    <row r="330" spans="2:6">
      <c r="B330" s="837">
        <v>45293</v>
      </c>
      <c r="C330">
        <v>12.16</v>
      </c>
      <c r="D330">
        <v>5951056</v>
      </c>
      <c r="E330" s="838">
        <v>28</v>
      </c>
      <c r="F330">
        <f t="shared" si="5"/>
        <v>5.9510560000000003</v>
      </c>
    </row>
    <row r="331" spans="2:6">
      <c r="B331" s="837">
        <v>45289</v>
      </c>
      <c r="C331">
        <v>12.39</v>
      </c>
      <c r="D331">
        <v>8605308</v>
      </c>
      <c r="E331" s="838">
        <v>30.421099999999999</v>
      </c>
      <c r="F331">
        <f t="shared" si="5"/>
        <v>8.6053080000000008</v>
      </c>
    </row>
    <row r="332" spans="2:6">
      <c r="B332" s="837">
        <v>45288</v>
      </c>
      <c r="C332">
        <v>13.23</v>
      </c>
      <c r="D332">
        <v>5065110</v>
      </c>
      <c r="E332" s="838">
        <v>39.263199999999998</v>
      </c>
      <c r="F332">
        <f t="shared" si="5"/>
        <v>5.0651099999999998</v>
      </c>
    </row>
    <row r="333" spans="2:6">
      <c r="B333" s="837">
        <v>45287</v>
      </c>
      <c r="C333">
        <v>13.21</v>
      </c>
      <c r="D333">
        <v>7445210</v>
      </c>
      <c r="E333" s="838">
        <v>39.052599999999998</v>
      </c>
      <c r="F333">
        <f t="shared" si="5"/>
        <v>7.4452100000000003</v>
      </c>
    </row>
    <row r="334" spans="2:6">
      <c r="B334" s="837">
        <v>45286</v>
      </c>
      <c r="C334">
        <v>13.52</v>
      </c>
      <c r="D334">
        <v>8866839</v>
      </c>
      <c r="E334" s="838">
        <v>42.315800000000003</v>
      </c>
      <c r="F334">
        <f t="shared" si="5"/>
        <v>8.8668390000000006</v>
      </c>
    </row>
    <row r="335" spans="2:6">
      <c r="B335" s="837">
        <v>45282</v>
      </c>
      <c r="C335">
        <v>13.64</v>
      </c>
      <c r="D335">
        <v>4895885</v>
      </c>
      <c r="E335" s="838">
        <v>43.578899999999997</v>
      </c>
      <c r="F335">
        <f t="shared" si="5"/>
        <v>4.8958849999999998</v>
      </c>
    </row>
    <row r="336" spans="2:6">
      <c r="B336" s="837">
        <v>45281</v>
      </c>
      <c r="C336">
        <v>13.79</v>
      </c>
      <c r="D336">
        <v>4937341</v>
      </c>
      <c r="E336" s="838">
        <v>45.157899999999998</v>
      </c>
      <c r="F336">
        <f t="shared" si="5"/>
        <v>4.937341</v>
      </c>
    </row>
    <row r="337" spans="2:6">
      <c r="B337" s="837">
        <v>45280</v>
      </c>
      <c r="C337">
        <v>13.39</v>
      </c>
      <c r="D337">
        <v>8701214</v>
      </c>
      <c r="E337" s="838">
        <v>40.947400000000002</v>
      </c>
      <c r="F337">
        <f t="shared" si="5"/>
        <v>8.7012140000000002</v>
      </c>
    </row>
    <row r="338" spans="2:6">
      <c r="B338" s="837">
        <v>45279</v>
      </c>
      <c r="C338">
        <v>14.32</v>
      </c>
      <c r="D338">
        <v>7388685</v>
      </c>
      <c r="E338" s="838">
        <v>50.736800000000002</v>
      </c>
      <c r="F338">
        <f t="shared" si="5"/>
        <v>7.3886849999999997</v>
      </c>
    </row>
    <row r="339" spans="2:6">
      <c r="B339" s="837">
        <v>45278</v>
      </c>
      <c r="C339">
        <v>14.57</v>
      </c>
      <c r="D339">
        <v>6809445</v>
      </c>
      <c r="E339" s="838">
        <v>53.368400000000001</v>
      </c>
      <c r="F339">
        <f t="shared" si="5"/>
        <v>6.8094450000000002</v>
      </c>
    </row>
    <row r="340" spans="2:6">
      <c r="B340" s="837">
        <v>45275</v>
      </c>
      <c r="C340">
        <v>14.93</v>
      </c>
      <c r="D340">
        <v>12601521</v>
      </c>
      <c r="E340" s="838">
        <v>57.157899999999998</v>
      </c>
      <c r="F340">
        <f t="shared" si="5"/>
        <v>12.601521</v>
      </c>
    </row>
    <row r="341" spans="2:6">
      <c r="B341" s="837">
        <v>45274</v>
      </c>
      <c r="C341">
        <v>14.76</v>
      </c>
      <c r="D341">
        <v>15617185</v>
      </c>
      <c r="E341" s="838">
        <v>55.368400000000001</v>
      </c>
      <c r="F341">
        <f t="shared" si="5"/>
        <v>15.617184999999999</v>
      </c>
    </row>
    <row r="342" spans="2:6">
      <c r="B342" s="837">
        <v>45273</v>
      </c>
      <c r="C342">
        <v>13.43</v>
      </c>
      <c r="D342">
        <v>11648936</v>
      </c>
      <c r="E342" s="838">
        <v>41.368400000000001</v>
      </c>
      <c r="F342">
        <f t="shared" si="5"/>
        <v>11.648936000000001</v>
      </c>
    </row>
    <row r="343" spans="2:6">
      <c r="B343" s="837">
        <v>45272</v>
      </c>
      <c r="C343">
        <v>12.76</v>
      </c>
      <c r="D343">
        <v>7545507</v>
      </c>
      <c r="E343" s="838">
        <v>34.315800000000003</v>
      </c>
      <c r="F343">
        <f t="shared" si="5"/>
        <v>7.5455069999999997</v>
      </c>
    </row>
    <row r="344" spans="2:6">
      <c r="B344" s="837">
        <v>45271</v>
      </c>
      <c r="C344">
        <v>13.05</v>
      </c>
      <c r="D344">
        <v>10633976</v>
      </c>
      <c r="E344" s="838">
        <v>37.368400000000001</v>
      </c>
      <c r="F344">
        <f t="shared" si="5"/>
        <v>10.633976000000001</v>
      </c>
    </row>
    <row r="345" spans="2:6">
      <c r="B345" s="837">
        <v>45268</v>
      </c>
      <c r="C345">
        <v>13.69</v>
      </c>
      <c r="D345">
        <v>8181388</v>
      </c>
      <c r="E345" s="838">
        <v>44.1053</v>
      </c>
      <c r="F345">
        <f t="shared" si="5"/>
        <v>8.1813880000000001</v>
      </c>
    </row>
    <row r="346" spans="2:6">
      <c r="B346" s="837">
        <v>45267</v>
      </c>
      <c r="C346">
        <v>13.2</v>
      </c>
      <c r="D346">
        <v>6021298</v>
      </c>
      <c r="E346" s="838">
        <v>38.947400000000002</v>
      </c>
      <c r="F346">
        <f t="shared" si="5"/>
        <v>6.0212979999999998</v>
      </c>
    </row>
    <row r="347" spans="2:6">
      <c r="B347" s="837">
        <v>45266</v>
      </c>
      <c r="C347">
        <v>12.97</v>
      </c>
      <c r="D347">
        <v>8686407</v>
      </c>
      <c r="E347" s="838">
        <v>36.526299999999999</v>
      </c>
      <c r="F347">
        <f t="shared" si="5"/>
        <v>8.6864070000000009</v>
      </c>
    </row>
    <row r="348" spans="2:6">
      <c r="B348" s="837">
        <v>45265</v>
      </c>
      <c r="C348">
        <v>13.01</v>
      </c>
      <c r="D348">
        <v>6930494</v>
      </c>
      <c r="E348" s="838">
        <v>36.947400000000002</v>
      </c>
      <c r="F348">
        <f t="shared" si="5"/>
        <v>6.9304940000000004</v>
      </c>
    </row>
    <row r="349" spans="2:6">
      <c r="B349" s="837">
        <v>45264</v>
      </c>
      <c r="C349">
        <v>13.76</v>
      </c>
      <c r="D349">
        <v>9841454</v>
      </c>
      <c r="E349" s="838">
        <v>44.842100000000002</v>
      </c>
      <c r="F349">
        <f t="shared" si="5"/>
        <v>9.8414540000000006</v>
      </c>
    </row>
    <row r="350" spans="2:6">
      <c r="B350" s="837">
        <v>45261</v>
      </c>
      <c r="C350">
        <v>13.61</v>
      </c>
      <c r="D350">
        <v>9840653</v>
      </c>
      <c r="E350" s="838">
        <v>43.263199999999998</v>
      </c>
      <c r="F350">
        <f t="shared" si="5"/>
        <v>9.8406529999999997</v>
      </c>
    </row>
    <row r="351" spans="2:6">
      <c r="B351" s="837">
        <v>45260</v>
      </c>
      <c r="C351">
        <v>12.23</v>
      </c>
      <c r="D351">
        <v>6469361</v>
      </c>
      <c r="E351" s="838">
        <v>28.736799999999999</v>
      </c>
      <c r="F351">
        <f t="shared" si="5"/>
        <v>6.4693610000000001</v>
      </c>
    </row>
    <row r="352" spans="2:6">
      <c r="B352" s="837">
        <v>45259</v>
      </c>
      <c r="C352">
        <v>12.48</v>
      </c>
      <c r="D352">
        <v>8847670</v>
      </c>
      <c r="E352" s="838">
        <v>31.368400000000001</v>
      </c>
      <c r="F352">
        <f t="shared" si="5"/>
        <v>8.8476700000000008</v>
      </c>
    </row>
    <row r="353" spans="2:6">
      <c r="B353" s="837">
        <v>45258</v>
      </c>
      <c r="C353">
        <v>12.21</v>
      </c>
      <c r="D353">
        <v>6430672</v>
      </c>
      <c r="E353" s="838">
        <v>28.526299999999999</v>
      </c>
      <c r="F353">
        <f t="shared" si="5"/>
        <v>6.4306720000000004</v>
      </c>
    </row>
    <row r="354" spans="2:6">
      <c r="B354" s="837">
        <v>45257</v>
      </c>
      <c r="C354">
        <v>12.1</v>
      </c>
      <c r="D354">
        <v>5517499</v>
      </c>
      <c r="E354" s="838">
        <v>27.368400000000001</v>
      </c>
      <c r="F354">
        <f t="shared" si="5"/>
        <v>5.5174989999999999</v>
      </c>
    </row>
    <row r="355" spans="2:6">
      <c r="B355" s="837">
        <v>45254</v>
      </c>
      <c r="C355">
        <v>12.36</v>
      </c>
      <c r="D355">
        <v>3057836</v>
      </c>
      <c r="E355" s="838">
        <v>30.1053</v>
      </c>
      <c r="F355">
        <f t="shared" si="5"/>
        <v>3.057836</v>
      </c>
    </row>
    <row r="356" spans="2:6">
      <c r="B356" s="837">
        <v>45252</v>
      </c>
      <c r="C356">
        <v>12.42</v>
      </c>
      <c r="D356">
        <v>7320398</v>
      </c>
      <c r="E356" s="838">
        <v>30.736799999999999</v>
      </c>
      <c r="F356">
        <f t="shared" si="5"/>
        <v>7.320398</v>
      </c>
    </row>
    <row r="357" spans="2:6">
      <c r="B357" s="837">
        <v>45251</v>
      </c>
      <c r="C357">
        <v>12.29</v>
      </c>
      <c r="D357">
        <v>5387269</v>
      </c>
      <c r="E357" s="838">
        <v>29.368400000000001</v>
      </c>
      <c r="F357">
        <f t="shared" si="5"/>
        <v>5.3872689999999999</v>
      </c>
    </row>
    <row r="358" spans="2:6">
      <c r="B358" s="837">
        <v>45250</v>
      </c>
      <c r="C358">
        <v>12.85</v>
      </c>
      <c r="D358">
        <v>5988313</v>
      </c>
      <c r="E358" s="838">
        <v>35.263199999999998</v>
      </c>
      <c r="F358">
        <f t="shared" si="5"/>
        <v>5.9883129999999998</v>
      </c>
    </row>
    <row r="359" spans="2:6">
      <c r="B359" s="837">
        <v>45247</v>
      </c>
      <c r="C359">
        <v>12.7</v>
      </c>
      <c r="D359">
        <v>7101709</v>
      </c>
      <c r="E359" s="838">
        <v>33.684199999999997</v>
      </c>
      <c r="F359">
        <f t="shared" si="5"/>
        <v>7.1017089999999996</v>
      </c>
    </row>
    <row r="360" spans="2:6">
      <c r="B360" s="837">
        <v>45246</v>
      </c>
      <c r="C360">
        <v>12.2</v>
      </c>
      <c r="D360">
        <v>7567873</v>
      </c>
      <c r="E360" s="838">
        <v>28.421099999999999</v>
      </c>
      <c r="F360">
        <f t="shared" si="5"/>
        <v>7.5678729999999996</v>
      </c>
    </row>
    <row r="361" spans="2:6">
      <c r="B361" s="837">
        <v>45245</v>
      </c>
      <c r="C361">
        <v>12.99</v>
      </c>
      <c r="D361">
        <v>12077311</v>
      </c>
      <c r="E361" s="838">
        <v>36.736800000000002</v>
      </c>
      <c r="F361">
        <f t="shared" si="5"/>
        <v>12.077311</v>
      </c>
    </row>
    <row r="362" spans="2:6">
      <c r="B362" s="837">
        <v>45244</v>
      </c>
      <c r="C362">
        <v>12.69</v>
      </c>
      <c r="D362">
        <v>10069520</v>
      </c>
      <c r="E362" s="838">
        <v>33.578899999999997</v>
      </c>
      <c r="F362">
        <f t="shared" si="5"/>
        <v>10.069520000000001</v>
      </c>
    </row>
    <row r="363" spans="2:6">
      <c r="B363" s="837">
        <v>45243</v>
      </c>
      <c r="C363">
        <v>11.55</v>
      </c>
      <c r="D363">
        <v>12006033</v>
      </c>
      <c r="E363" s="838">
        <v>21.578900000000001</v>
      </c>
      <c r="F363">
        <f t="shared" si="5"/>
        <v>12.006033</v>
      </c>
    </row>
    <row r="364" spans="2:6">
      <c r="B364" s="837">
        <v>45240</v>
      </c>
      <c r="C364">
        <v>10.66</v>
      </c>
      <c r="D364">
        <v>11940458</v>
      </c>
      <c r="E364" s="838">
        <v>12.2105</v>
      </c>
      <c r="F364">
        <f t="shared" si="5"/>
        <v>11.940458</v>
      </c>
    </row>
    <row r="365" spans="2:6">
      <c r="B365" s="837">
        <v>45239</v>
      </c>
      <c r="C365">
        <v>11.23</v>
      </c>
      <c r="D365">
        <v>16070335</v>
      </c>
      <c r="E365" s="838">
        <v>18.2105</v>
      </c>
      <c r="F365">
        <f t="shared" si="5"/>
        <v>16.070335</v>
      </c>
    </row>
    <row r="366" spans="2:6">
      <c r="B366" s="837">
        <v>45238</v>
      </c>
      <c r="C366">
        <v>11.41</v>
      </c>
      <c r="D366">
        <v>7449383</v>
      </c>
      <c r="E366" s="838">
        <v>20.1053</v>
      </c>
      <c r="F366">
        <f t="shared" si="5"/>
        <v>7.4493830000000001</v>
      </c>
    </row>
    <row r="367" spans="2:6">
      <c r="B367" s="837">
        <v>45237</v>
      </c>
      <c r="C367">
        <v>11.47</v>
      </c>
      <c r="D367">
        <v>7873239</v>
      </c>
      <c r="E367" s="838">
        <v>20.736799999999999</v>
      </c>
      <c r="F367">
        <f t="shared" si="5"/>
        <v>7.8732389999999999</v>
      </c>
    </row>
    <row r="368" spans="2:6">
      <c r="B368" s="837">
        <v>45236</v>
      </c>
      <c r="C368">
        <v>11.21</v>
      </c>
      <c r="D368">
        <v>10032050</v>
      </c>
      <c r="E368" s="838">
        <v>18</v>
      </c>
      <c r="F368">
        <f t="shared" si="5"/>
        <v>10.03205</v>
      </c>
    </row>
    <row r="369" spans="2:6">
      <c r="B369" s="837">
        <v>45233</v>
      </c>
      <c r="C369">
        <v>11.58</v>
      </c>
      <c r="D369">
        <v>9590592</v>
      </c>
      <c r="E369" s="838">
        <v>21.8947</v>
      </c>
      <c r="F369">
        <f t="shared" si="5"/>
        <v>9.5905919999999991</v>
      </c>
    </row>
    <row r="370" spans="2:6">
      <c r="B370" s="837">
        <v>45232</v>
      </c>
      <c r="C370">
        <v>11.14</v>
      </c>
      <c r="D370">
        <v>11768983</v>
      </c>
      <c r="E370" s="838">
        <v>17.263200000000001</v>
      </c>
      <c r="F370">
        <f t="shared" si="5"/>
        <v>11.768983</v>
      </c>
    </row>
    <row r="371" spans="2:6">
      <c r="B371" s="837">
        <v>45231</v>
      </c>
      <c r="C371">
        <v>10.220000000000001</v>
      </c>
      <c r="D371">
        <v>9031454</v>
      </c>
      <c r="E371" s="838">
        <v>7.5789</v>
      </c>
      <c r="F371">
        <f t="shared" si="5"/>
        <v>9.0314540000000001</v>
      </c>
    </row>
    <row r="372" spans="2:6">
      <c r="B372" s="837">
        <v>45230</v>
      </c>
      <c r="C372">
        <v>9.64</v>
      </c>
      <c r="D372">
        <v>7301687</v>
      </c>
      <c r="E372" s="838">
        <v>1.4737</v>
      </c>
      <c r="F372">
        <f t="shared" si="5"/>
        <v>7.3016870000000003</v>
      </c>
    </row>
    <row r="373" spans="2:6">
      <c r="B373" s="837">
        <v>45229</v>
      </c>
      <c r="C373">
        <v>9.5</v>
      </c>
      <c r="D373">
        <v>12284672</v>
      </c>
      <c r="E373" s="838">
        <v>0</v>
      </c>
      <c r="F373">
        <f t="shared" si="5"/>
        <v>12.284672</v>
      </c>
    </row>
    <row r="374" spans="2:6">
      <c r="B374" s="837">
        <v>45226</v>
      </c>
      <c r="C374">
        <v>10.14</v>
      </c>
      <c r="D374">
        <v>7936523</v>
      </c>
      <c r="E374" s="838">
        <v>6.7367999999999997</v>
      </c>
      <c r="F374">
        <f t="shared" si="5"/>
        <v>7.9365230000000002</v>
      </c>
    </row>
    <row r="375" spans="2:6">
      <c r="B375" s="837">
        <v>45225</v>
      </c>
      <c r="C375">
        <v>9.92</v>
      </c>
      <c r="D375">
        <v>12436498</v>
      </c>
      <c r="E375" s="838">
        <v>4.4211</v>
      </c>
      <c r="F375">
        <f t="shared" si="5"/>
        <v>12.436498</v>
      </c>
    </row>
    <row r="376" spans="2:6">
      <c r="B376" s="837">
        <v>45224</v>
      </c>
      <c r="C376">
        <v>10.4</v>
      </c>
      <c r="D376">
        <v>12868734</v>
      </c>
      <c r="E376" s="838">
        <v>9.4736999999999991</v>
      </c>
      <c r="F376">
        <f t="shared" si="5"/>
        <v>12.868734</v>
      </c>
    </row>
    <row r="377" spans="2:6">
      <c r="B377" s="837">
        <v>45223</v>
      </c>
      <c r="C377">
        <v>11.01</v>
      </c>
      <c r="D377">
        <v>18483496</v>
      </c>
      <c r="E377" s="838">
        <v>15.8947</v>
      </c>
      <c r="F377">
        <f t="shared" si="5"/>
        <v>18.483495999999999</v>
      </c>
    </row>
    <row r="378" spans="2:6">
      <c r="B378" s="837">
        <v>45222</v>
      </c>
      <c r="C378">
        <v>12.64</v>
      </c>
      <c r="D378">
        <v>11506304</v>
      </c>
      <c r="E378" s="838">
        <v>33.052599999999998</v>
      </c>
      <c r="F378">
        <f t="shared" si="5"/>
        <v>11.506304</v>
      </c>
    </row>
    <row r="379" spans="2:6">
      <c r="B379" s="837">
        <v>45219</v>
      </c>
      <c r="C379">
        <v>12.59</v>
      </c>
      <c r="D379">
        <v>9586865</v>
      </c>
      <c r="E379" s="838">
        <v>32.526299999999999</v>
      </c>
      <c r="F379">
        <f t="shared" si="5"/>
        <v>9.5868649999999995</v>
      </c>
    </row>
    <row r="380" spans="2:6">
      <c r="B380" s="837">
        <v>45218</v>
      </c>
      <c r="C380">
        <v>13.47</v>
      </c>
      <c r="D380">
        <v>7664930</v>
      </c>
      <c r="E380" s="838">
        <v>41.789499999999997</v>
      </c>
      <c r="F380">
        <f t="shared" si="5"/>
        <v>7.66493</v>
      </c>
    </row>
    <row r="381" spans="2:6">
      <c r="B381" s="837">
        <v>45217</v>
      </c>
      <c r="C381">
        <v>13.69</v>
      </c>
      <c r="D381">
        <v>7830915</v>
      </c>
      <c r="E381" s="838">
        <v>44.1053</v>
      </c>
      <c r="F381">
        <f t="shared" si="5"/>
        <v>7.8309150000000001</v>
      </c>
    </row>
    <row r="382" spans="2:6">
      <c r="B382" s="837">
        <v>45216</v>
      </c>
      <c r="C382">
        <v>14.38</v>
      </c>
      <c r="D382">
        <v>6852651</v>
      </c>
      <c r="E382" s="838">
        <v>51.368400000000001</v>
      </c>
      <c r="F382">
        <f t="shared" si="5"/>
        <v>6.8526509999999998</v>
      </c>
    </row>
    <row r="383" spans="2:6">
      <c r="B383" s="837">
        <v>45215</v>
      </c>
      <c r="C383">
        <v>14.41</v>
      </c>
      <c r="D383">
        <v>6725431</v>
      </c>
      <c r="E383" s="838">
        <v>51.684199999999997</v>
      </c>
      <c r="F383">
        <f t="shared" si="5"/>
        <v>6.7254310000000004</v>
      </c>
    </row>
    <row r="384" spans="2:6">
      <c r="B384" s="837">
        <v>45212</v>
      </c>
      <c r="C384">
        <v>14.29</v>
      </c>
      <c r="D384">
        <v>8371921</v>
      </c>
      <c r="E384" s="838">
        <v>50.421100000000003</v>
      </c>
      <c r="F384">
        <f t="shared" si="5"/>
        <v>8.3719210000000004</v>
      </c>
    </row>
    <row r="385" spans="2:6">
      <c r="B385" s="837">
        <v>45211</v>
      </c>
      <c r="C385">
        <v>15.21</v>
      </c>
      <c r="D385">
        <v>9742887</v>
      </c>
      <c r="E385" s="838">
        <v>60.1053</v>
      </c>
      <c r="F385">
        <f t="shared" si="5"/>
        <v>9.7428869999999996</v>
      </c>
    </row>
    <row r="386" spans="2:6">
      <c r="B386" s="837">
        <v>45210</v>
      </c>
      <c r="C386">
        <v>15.69</v>
      </c>
      <c r="D386">
        <v>9986672</v>
      </c>
      <c r="E386" s="838">
        <v>65.157899999999998</v>
      </c>
      <c r="F386">
        <f t="shared" si="5"/>
        <v>9.9866720000000004</v>
      </c>
    </row>
    <row r="387" spans="2:6">
      <c r="B387" s="837">
        <v>45209</v>
      </c>
      <c r="C387">
        <v>16</v>
      </c>
      <c r="D387">
        <v>16382174</v>
      </c>
      <c r="E387" s="838">
        <v>68.421099999999996</v>
      </c>
      <c r="F387">
        <f t="shared" si="5"/>
        <v>16.382173999999999</v>
      </c>
    </row>
    <row r="388" spans="2:6">
      <c r="B388" s="837">
        <v>45208</v>
      </c>
      <c r="C388">
        <v>14.64</v>
      </c>
      <c r="D388">
        <v>8915891</v>
      </c>
      <c r="E388" s="838">
        <v>54.1053</v>
      </c>
      <c r="F388">
        <f t="shared" si="5"/>
        <v>8.9158910000000002</v>
      </c>
    </row>
    <row r="389" spans="2:6">
      <c r="B389" s="837">
        <v>45205</v>
      </c>
      <c r="C389">
        <v>15.29</v>
      </c>
      <c r="D389">
        <v>8894965</v>
      </c>
      <c r="E389" s="838">
        <v>60.947400000000002</v>
      </c>
      <c r="F389">
        <f t="shared" si="5"/>
        <v>8.8949649999999991</v>
      </c>
    </row>
    <row r="390" spans="2:6">
      <c r="B390" s="837">
        <v>45204</v>
      </c>
      <c r="C390">
        <v>14.69</v>
      </c>
      <c r="D390">
        <v>6183592</v>
      </c>
      <c r="E390" s="838">
        <v>54.631599999999999</v>
      </c>
      <c r="F390">
        <f t="shared" ref="F390:F453" si="6">D390/1000000</f>
        <v>6.183592</v>
      </c>
    </row>
    <row r="391" spans="2:6">
      <c r="B391" s="837">
        <v>45203</v>
      </c>
      <c r="C391">
        <v>14.77</v>
      </c>
      <c r="D391">
        <v>8775480</v>
      </c>
      <c r="E391" s="838">
        <v>55.473700000000001</v>
      </c>
      <c r="F391">
        <f t="shared" si="6"/>
        <v>8.7754799999999999</v>
      </c>
    </row>
    <row r="392" spans="2:6">
      <c r="B392" s="837">
        <v>45202</v>
      </c>
      <c r="C392">
        <v>13.92</v>
      </c>
      <c r="D392">
        <v>8441426</v>
      </c>
      <c r="E392" s="838">
        <v>46.526299999999999</v>
      </c>
      <c r="F392">
        <f t="shared" si="6"/>
        <v>8.4414259999999999</v>
      </c>
    </row>
    <row r="393" spans="2:6">
      <c r="B393" s="837">
        <v>45201</v>
      </c>
      <c r="C393">
        <v>14.81</v>
      </c>
      <c r="D393">
        <v>7661504</v>
      </c>
      <c r="E393" s="838">
        <v>55.8947</v>
      </c>
      <c r="F393">
        <f t="shared" si="6"/>
        <v>7.6615039999999999</v>
      </c>
    </row>
    <row r="394" spans="2:6">
      <c r="B394" s="837">
        <v>45198</v>
      </c>
      <c r="C394">
        <v>14.88</v>
      </c>
      <c r="D394">
        <v>13846228</v>
      </c>
      <c r="E394" s="838">
        <v>56.631599999999999</v>
      </c>
      <c r="F394">
        <f t="shared" si="6"/>
        <v>13.846228</v>
      </c>
    </row>
    <row r="395" spans="2:6">
      <c r="B395" s="837">
        <v>45197</v>
      </c>
      <c r="C395">
        <v>15.39</v>
      </c>
      <c r="D395">
        <v>15513850</v>
      </c>
      <c r="E395" s="838">
        <v>62</v>
      </c>
      <c r="F395">
        <f t="shared" si="6"/>
        <v>15.51385</v>
      </c>
    </row>
    <row r="396" spans="2:6">
      <c r="B396" s="837">
        <v>45196</v>
      </c>
      <c r="C396">
        <v>14.24</v>
      </c>
      <c r="D396">
        <v>15092385</v>
      </c>
      <c r="E396" s="838">
        <v>49.8947</v>
      </c>
      <c r="F396">
        <f t="shared" si="6"/>
        <v>15.092385</v>
      </c>
    </row>
    <row r="397" spans="2:6">
      <c r="B397" s="837">
        <v>45195</v>
      </c>
      <c r="C397">
        <v>13.1</v>
      </c>
      <c r="D397">
        <v>8431098</v>
      </c>
      <c r="E397" s="838">
        <v>37.8947</v>
      </c>
      <c r="F397">
        <f t="shared" si="6"/>
        <v>8.4310980000000004</v>
      </c>
    </row>
    <row r="398" spans="2:6">
      <c r="B398" s="837">
        <v>45194</v>
      </c>
      <c r="C398">
        <v>13.41</v>
      </c>
      <c r="D398">
        <v>8908493</v>
      </c>
      <c r="E398" s="838">
        <v>41.157899999999998</v>
      </c>
      <c r="F398">
        <f t="shared" si="6"/>
        <v>8.908493</v>
      </c>
    </row>
    <row r="399" spans="2:6">
      <c r="B399" s="837">
        <v>45191</v>
      </c>
      <c r="C399">
        <v>13.28</v>
      </c>
      <c r="D399">
        <v>11661344</v>
      </c>
      <c r="E399" s="838">
        <v>39.789499999999997</v>
      </c>
      <c r="F399">
        <f t="shared" si="6"/>
        <v>11.661344</v>
      </c>
    </row>
    <row r="400" spans="2:6">
      <c r="B400" s="837">
        <v>45190</v>
      </c>
      <c r="C400">
        <v>13.53</v>
      </c>
      <c r="D400">
        <v>15438643</v>
      </c>
      <c r="E400" s="838">
        <v>42.421100000000003</v>
      </c>
      <c r="F400">
        <f t="shared" si="6"/>
        <v>15.438643000000001</v>
      </c>
    </row>
    <row r="401" spans="2:6">
      <c r="B401" s="837">
        <v>45189</v>
      </c>
      <c r="C401">
        <v>14.8</v>
      </c>
      <c r="D401">
        <v>14212643</v>
      </c>
      <c r="E401" s="838">
        <v>55.789499999999997</v>
      </c>
      <c r="F401">
        <f t="shared" si="6"/>
        <v>14.212643</v>
      </c>
    </row>
    <row r="402" spans="2:6">
      <c r="B402" s="837">
        <v>45188</v>
      </c>
      <c r="C402">
        <v>15.78</v>
      </c>
      <c r="D402">
        <v>9755830</v>
      </c>
      <c r="E402" s="838">
        <v>66.1053</v>
      </c>
      <c r="F402">
        <f t="shared" si="6"/>
        <v>9.7558299999999996</v>
      </c>
    </row>
    <row r="403" spans="2:6">
      <c r="B403" s="837">
        <v>45187</v>
      </c>
      <c r="C403">
        <v>16.16</v>
      </c>
      <c r="D403">
        <v>10491991</v>
      </c>
      <c r="E403" s="838">
        <v>70.1053</v>
      </c>
      <c r="F403">
        <f t="shared" si="6"/>
        <v>10.491991000000001</v>
      </c>
    </row>
    <row r="404" spans="2:6">
      <c r="B404" s="837">
        <v>45184</v>
      </c>
      <c r="C404">
        <v>17.079999999999998</v>
      </c>
      <c r="D404">
        <v>13729859</v>
      </c>
      <c r="E404" s="838">
        <v>79.789500000000004</v>
      </c>
      <c r="F404">
        <f t="shared" si="6"/>
        <v>13.729858999999999</v>
      </c>
    </row>
    <row r="405" spans="2:6">
      <c r="B405" s="837">
        <v>45183</v>
      </c>
      <c r="C405">
        <v>18.03</v>
      </c>
      <c r="D405">
        <v>11911056</v>
      </c>
      <c r="E405" s="838">
        <v>89.789500000000004</v>
      </c>
      <c r="F405">
        <f t="shared" si="6"/>
        <v>11.911056</v>
      </c>
    </row>
    <row r="406" spans="2:6">
      <c r="B406" s="837">
        <v>45182</v>
      </c>
      <c r="C406">
        <v>18.690000000000001</v>
      </c>
      <c r="D406">
        <v>13052493</v>
      </c>
      <c r="E406" s="838">
        <v>96.736800000000002</v>
      </c>
      <c r="F406">
        <f t="shared" si="6"/>
        <v>13.052493</v>
      </c>
    </row>
    <row r="407" spans="2:6">
      <c r="B407" s="837">
        <v>45181</v>
      </c>
      <c r="C407">
        <v>19.309999999999999</v>
      </c>
      <c r="D407">
        <v>21368944</v>
      </c>
      <c r="E407" s="838">
        <v>103.2632</v>
      </c>
      <c r="F407">
        <f t="shared" si="6"/>
        <v>21.368943999999999</v>
      </c>
    </row>
    <row r="408" spans="2:6">
      <c r="B408" s="837">
        <v>45180</v>
      </c>
      <c r="C408">
        <v>19.68</v>
      </c>
      <c r="D408">
        <v>11040863</v>
      </c>
      <c r="E408" s="838">
        <v>107.1579</v>
      </c>
      <c r="F408">
        <f t="shared" si="6"/>
        <v>11.040863</v>
      </c>
    </row>
    <row r="409" spans="2:6">
      <c r="B409" s="837">
        <v>45177</v>
      </c>
      <c r="C409">
        <v>19.34</v>
      </c>
      <c r="D409">
        <v>13094247</v>
      </c>
      <c r="E409" s="838">
        <v>103.5789</v>
      </c>
      <c r="F409">
        <f t="shared" si="6"/>
        <v>13.094246999999999</v>
      </c>
    </row>
    <row r="410" spans="2:6">
      <c r="B410" s="837">
        <v>45176</v>
      </c>
      <c r="C410">
        <v>17.489999999999998</v>
      </c>
      <c r="D410">
        <v>16134629</v>
      </c>
      <c r="E410" s="838">
        <v>84.1053</v>
      </c>
      <c r="F410">
        <f t="shared" si="6"/>
        <v>16.134629</v>
      </c>
    </row>
    <row r="411" spans="2:6">
      <c r="B411" s="837">
        <v>45175</v>
      </c>
      <c r="C411">
        <v>19.579999999999998</v>
      </c>
      <c r="D411">
        <v>13193818</v>
      </c>
      <c r="E411" s="838">
        <v>106.1053</v>
      </c>
      <c r="F411">
        <f t="shared" si="6"/>
        <v>13.193818</v>
      </c>
    </row>
    <row r="412" spans="2:6">
      <c r="B412" s="837">
        <v>45174</v>
      </c>
      <c r="C412">
        <v>18.97</v>
      </c>
      <c r="D412">
        <v>12119131</v>
      </c>
      <c r="E412" s="838">
        <v>99.684200000000004</v>
      </c>
      <c r="F412">
        <f t="shared" si="6"/>
        <v>12.119130999999999</v>
      </c>
    </row>
    <row r="413" spans="2:6">
      <c r="B413" s="837">
        <v>45170</v>
      </c>
      <c r="C413">
        <v>17.510000000000002</v>
      </c>
      <c r="D413">
        <v>7835784</v>
      </c>
      <c r="E413" s="838">
        <v>84.315799999999996</v>
      </c>
      <c r="F413">
        <f t="shared" si="6"/>
        <v>7.8357840000000003</v>
      </c>
    </row>
    <row r="414" spans="2:6">
      <c r="B414" s="837">
        <v>45169</v>
      </c>
      <c r="C414">
        <v>17.190000000000001</v>
      </c>
      <c r="D414">
        <v>7681982</v>
      </c>
      <c r="E414" s="838">
        <v>80.947400000000002</v>
      </c>
      <c r="F414">
        <f t="shared" si="6"/>
        <v>7.6819819999999996</v>
      </c>
    </row>
    <row r="415" spans="2:6">
      <c r="B415" s="837">
        <v>45168</v>
      </c>
      <c r="C415">
        <v>17.12</v>
      </c>
      <c r="D415">
        <v>11589156</v>
      </c>
      <c r="E415" s="838">
        <v>80.210499999999996</v>
      </c>
      <c r="F415">
        <f t="shared" si="6"/>
        <v>11.589155999999999</v>
      </c>
    </row>
    <row r="416" spans="2:6">
      <c r="B416" s="837">
        <v>45167</v>
      </c>
      <c r="C416">
        <v>16.5</v>
      </c>
      <c r="D416">
        <v>13203494</v>
      </c>
      <c r="E416" s="838">
        <v>73.684200000000004</v>
      </c>
      <c r="F416">
        <f t="shared" si="6"/>
        <v>13.203493999999999</v>
      </c>
    </row>
    <row r="417" spans="2:6">
      <c r="B417" s="837">
        <v>45166</v>
      </c>
      <c r="C417">
        <v>15.27</v>
      </c>
      <c r="D417">
        <v>8170348</v>
      </c>
      <c r="E417" s="838">
        <v>60.736800000000002</v>
      </c>
      <c r="F417">
        <f t="shared" si="6"/>
        <v>8.1703480000000006</v>
      </c>
    </row>
    <row r="418" spans="2:6">
      <c r="B418" s="837">
        <v>45163</v>
      </c>
      <c r="C418">
        <v>14.67</v>
      </c>
      <c r="D418">
        <v>10050640</v>
      </c>
      <c r="E418" s="838">
        <v>54.421100000000003</v>
      </c>
      <c r="F418">
        <f t="shared" si="6"/>
        <v>10.05064</v>
      </c>
    </row>
    <row r="419" spans="2:6">
      <c r="B419" s="837">
        <v>45162</v>
      </c>
      <c r="C419">
        <v>14.62</v>
      </c>
      <c r="D419">
        <v>11746805</v>
      </c>
      <c r="E419" s="838">
        <v>53.8947</v>
      </c>
      <c r="F419">
        <f t="shared" si="6"/>
        <v>11.746805</v>
      </c>
    </row>
    <row r="420" spans="2:6">
      <c r="B420" s="837">
        <v>45161</v>
      </c>
      <c r="C420">
        <v>16.100000000000001</v>
      </c>
      <c r="D420">
        <v>10681141</v>
      </c>
      <c r="E420" s="838">
        <v>69.473699999999994</v>
      </c>
      <c r="F420">
        <f t="shared" si="6"/>
        <v>10.681141</v>
      </c>
    </row>
    <row r="421" spans="2:6">
      <c r="B421" s="837">
        <v>45160</v>
      </c>
      <c r="C421">
        <v>14.92</v>
      </c>
      <c r="D421">
        <v>9453986</v>
      </c>
      <c r="E421" s="838">
        <v>57.052599999999998</v>
      </c>
      <c r="F421">
        <f t="shared" si="6"/>
        <v>9.4539860000000004</v>
      </c>
    </row>
    <row r="422" spans="2:6">
      <c r="B422" s="837">
        <v>45159</v>
      </c>
      <c r="C422">
        <v>14.42</v>
      </c>
      <c r="D422">
        <v>9703492</v>
      </c>
      <c r="E422" s="838">
        <v>51.789499999999997</v>
      </c>
      <c r="F422">
        <f t="shared" si="6"/>
        <v>9.7034920000000007</v>
      </c>
    </row>
    <row r="423" spans="2:6">
      <c r="B423" s="837">
        <v>45156</v>
      </c>
      <c r="C423">
        <v>13.42</v>
      </c>
      <c r="D423">
        <v>11928615</v>
      </c>
      <c r="E423" s="838">
        <v>41.263199999999998</v>
      </c>
      <c r="F423">
        <f t="shared" si="6"/>
        <v>11.928615000000001</v>
      </c>
    </row>
    <row r="424" spans="2:6">
      <c r="B424" s="837">
        <v>45155</v>
      </c>
      <c r="C424">
        <v>13.01</v>
      </c>
      <c r="D424">
        <v>11812161</v>
      </c>
      <c r="E424" s="838">
        <v>36.947400000000002</v>
      </c>
      <c r="F424">
        <f t="shared" si="6"/>
        <v>11.812161</v>
      </c>
    </row>
    <row r="425" spans="2:6">
      <c r="B425" s="837">
        <v>45154</v>
      </c>
      <c r="C425">
        <v>13.69</v>
      </c>
      <c r="D425">
        <v>16770797</v>
      </c>
      <c r="E425" s="838">
        <v>44.1053</v>
      </c>
      <c r="F425">
        <f t="shared" si="6"/>
        <v>16.770797000000002</v>
      </c>
    </row>
    <row r="426" spans="2:6">
      <c r="B426" s="837">
        <v>45153</v>
      </c>
      <c r="C426">
        <v>15.56</v>
      </c>
      <c r="D426">
        <v>25775804</v>
      </c>
      <c r="E426" s="838">
        <v>63.789499999999997</v>
      </c>
      <c r="F426">
        <f t="shared" si="6"/>
        <v>25.775804000000001</v>
      </c>
    </row>
    <row r="427" spans="2:6">
      <c r="B427" s="837">
        <v>45152</v>
      </c>
      <c r="C427">
        <v>14.88</v>
      </c>
      <c r="D427">
        <v>16876616</v>
      </c>
      <c r="E427" s="838">
        <v>56.631599999999999</v>
      </c>
      <c r="F427">
        <f t="shared" si="6"/>
        <v>16.876615999999999</v>
      </c>
    </row>
    <row r="428" spans="2:6">
      <c r="B428" s="837">
        <v>45149</v>
      </c>
      <c r="C428">
        <v>15.71</v>
      </c>
      <c r="D428">
        <v>51478068</v>
      </c>
      <c r="E428" s="838">
        <v>65.368399999999994</v>
      </c>
      <c r="F428">
        <f t="shared" si="6"/>
        <v>51.478068</v>
      </c>
    </row>
    <row r="429" spans="2:6">
      <c r="B429" s="837">
        <v>45148</v>
      </c>
      <c r="C429">
        <v>14.19</v>
      </c>
      <c r="D429">
        <v>12999605</v>
      </c>
      <c r="E429" s="838">
        <v>49.368400000000001</v>
      </c>
      <c r="F429">
        <f t="shared" si="6"/>
        <v>12.999605000000001</v>
      </c>
    </row>
    <row r="430" spans="2:6">
      <c r="B430" s="837">
        <v>45147</v>
      </c>
      <c r="C430">
        <v>14.49</v>
      </c>
      <c r="D430">
        <v>12370385</v>
      </c>
      <c r="E430" s="838">
        <v>52.526299999999999</v>
      </c>
      <c r="F430">
        <f t="shared" si="6"/>
        <v>12.370385000000001</v>
      </c>
    </row>
    <row r="431" spans="2:6">
      <c r="B431" s="837">
        <v>45146</v>
      </c>
      <c r="C431">
        <v>15.33</v>
      </c>
      <c r="D431">
        <v>8051683</v>
      </c>
      <c r="E431" s="838">
        <v>61.368400000000001</v>
      </c>
      <c r="F431">
        <f t="shared" si="6"/>
        <v>8.0516830000000006</v>
      </c>
    </row>
    <row r="432" spans="2:6">
      <c r="B432" s="837">
        <v>45145</v>
      </c>
      <c r="C432">
        <v>15.58</v>
      </c>
      <c r="D432">
        <v>15512328</v>
      </c>
      <c r="E432" s="838">
        <v>64</v>
      </c>
      <c r="F432">
        <f t="shared" si="6"/>
        <v>15.512328</v>
      </c>
    </row>
    <row r="433" spans="2:6">
      <c r="B433" s="837">
        <v>45142</v>
      </c>
      <c r="C433">
        <v>17.39</v>
      </c>
      <c r="D433">
        <v>10845198</v>
      </c>
      <c r="E433" s="838">
        <v>83.052599999999998</v>
      </c>
      <c r="F433">
        <f t="shared" si="6"/>
        <v>10.845198</v>
      </c>
    </row>
    <row r="434" spans="2:6">
      <c r="B434" s="837">
        <v>45141</v>
      </c>
      <c r="C434">
        <v>18.29</v>
      </c>
      <c r="D434">
        <v>7803963</v>
      </c>
      <c r="E434" s="838">
        <v>92.526300000000006</v>
      </c>
      <c r="F434">
        <f t="shared" si="6"/>
        <v>7.8039630000000004</v>
      </c>
    </row>
    <row r="435" spans="2:6">
      <c r="B435" s="837">
        <v>45140</v>
      </c>
      <c r="C435">
        <v>18.329999999999998</v>
      </c>
      <c r="D435">
        <v>13988184</v>
      </c>
      <c r="E435" s="838">
        <v>92.947400000000002</v>
      </c>
      <c r="F435">
        <f t="shared" si="6"/>
        <v>13.988184</v>
      </c>
    </row>
    <row r="436" spans="2:6">
      <c r="B436" s="837">
        <v>45139</v>
      </c>
      <c r="C436">
        <v>19.86</v>
      </c>
      <c r="D436">
        <v>15712003</v>
      </c>
      <c r="E436" s="838">
        <v>109.0526</v>
      </c>
      <c r="F436">
        <f t="shared" si="6"/>
        <v>15.712002999999999</v>
      </c>
    </row>
    <row r="437" spans="2:6">
      <c r="B437" s="837">
        <v>45138</v>
      </c>
      <c r="C437">
        <v>19.25</v>
      </c>
      <c r="D437">
        <v>13950882</v>
      </c>
      <c r="E437" s="838">
        <v>102.63160000000001</v>
      </c>
      <c r="F437">
        <f t="shared" si="6"/>
        <v>13.950882</v>
      </c>
    </row>
    <row r="438" spans="2:6">
      <c r="B438" s="837">
        <v>45135</v>
      </c>
      <c r="C438">
        <v>17.93</v>
      </c>
      <c r="D438">
        <v>14818562</v>
      </c>
      <c r="E438" s="838">
        <v>88.736800000000002</v>
      </c>
      <c r="F438">
        <f t="shared" si="6"/>
        <v>14.818562</v>
      </c>
    </row>
    <row r="439" spans="2:6">
      <c r="B439" s="837">
        <v>45134</v>
      </c>
      <c r="C439">
        <v>15.53</v>
      </c>
      <c r="D439">
        <v>11511094</v>
      </c>
      <c r="E439" s="838">
        <v>63.473700000000001</v>
      </c>
      <c r="F439">
        <f t="shared" si="6"/>
        <v>11.511094</v>
      </c>
    </row>
    <row r="440" spans="2:6">
      <c r="B440" s="837">
        <v>45133</v>
      </c>
      <c r="C440">
        <v>16.190000000000001</v>
      </c>
      <c r="D440">
        <v>10018206</v>
      </c>
      <c r="E440" s="838">
        <v>70.421099999999996</v>
      </c>
      <c r="F440">
        <f t="shared" si="6"/>
        <v>10.018205999999999</v>
      </c>
    </row>
    <row r="441" spans="2:6">
      <c r="B441" s="837">
        <v>45132</v>
      </c>
      <c r="C441">
        <v>15.22</v>
      </c>
      <c r="D441">
        <v>9280049</v>
      </c>
      <c r="E441" s="838">
        <v>60.210500000000003</v>
      </c>
      <c r="F441">
        <f t="shared" si="6"/>
        <v>9.280049</v>
      </c>
    </row>
    <row r="442" spans="2:6">
      <c r="B442" s="837">
        <v>45131</v>
      </c>
      <c r="C442">
        <v>14.39</v>
      </c>
      <c r="D442">
        <v>4571088</v>
      </c>
      <c r="E442" s="838">
        <v>51.473700000000001</v>
      </c>
      <c r="F442">
        <f t="shared" si="6"/>
        <v>4.5710879999999996</v>
      </c>
    </row>
    <row r="443" spans="2:6">
      <c r="B443" s="837">
        <v>45128</v>
      </c>
      <c r="C443">
        <v>14.42</v>
      </c>
      <c r="D443">
        <v>7127976</v>
      </c>
      <c r="E443" s="838">
        <v>51.789499999999997</v>
      </c>
      <c r="F443">
        <f t="shared" si="6"/>
        <v>7.1279760000000003</v>
      </c>
    </row>
    <row r="444" spans="2:6">
      <c r="B444" s="837">
        <v>45127</v>
      </c>
      <c r="C444">
        <v>14.92</v>
      </c>
      <c r="D444">
        <v>7778363</v>
      </c>
      <c r="E444" s="838">
        <v>57.052599999999998</v>
      </c>
      <c r="F444">
        <f t="shared" si="6"/>
        <v>7.7783629999999997</v>
      </c>
    </row>
    <row r="445" spans="2:6">
      <c r="B445" s="837">
        <v>45126</v>
      </c>
      <c r="C445">
        <v>15.52</v>
      </c>
      <c r="D445">
        <v>12203058</v>
      </c>
      <c r="E445" s="838">
        <v>63.368400000000001</v>
      </c>
      <c r="F445">
        <f t="shared" si="6"/>
        <v>12.203058</v>
      </c>
    </row>
    <row r="446" spans="2:6">
      <c r="B446" s="837">
        <v>45125</v>
      </c>
      <c r="C446">
        <v>15.71</v>
      </c>
      <c r="D446">
        <v>13845672</v>
      </c>
      <c r="E446" s="838">
        <v>65.368399999999994</v>
      </c>
      <c r="F446">
        <f t="shared" si="6"/>
        <v>13.845672</v>
      </c>
    </row>
    <row r="447" spans="2:6">
      <c r="B447" s="837">
        <v>45124</v>
      </c>
      <c r="C447">
        <v>14.9</v>
      </c>
      <c r="D447">
        <v>10548630</v>
      </c>
      <c r="E447" s="838">
        <v>56.842100000000002</v>
      </c>
      <c r="F447">
        <f t="shared" si="6"/>
        <v>10.548629999999999</v>
      </c>
    </row>
    <row r="448" spans="2:6">
      <c r="B448" s="837">
        <v>45121</v>
      </c>
      <c r="C448">
        <v>13.55</v>
      </c>
      <c r="D448">
        <v>13972981</v>
      </c>
      <c r="E448" s="838">
        <v>42.631599999999999</v>
      </c>
      <c r="F448">
        <f t="shared" si="6"/>
        <v>13.972981000000001</v>
      </c>
    </row>
    <row r="449" spans="2:6">
      <c r="B449" s="837">
        <v>45120</v>
      </c>
      <c r="C449">
        <v>14.46</v>
      </c>
      <c r="D449">
        <v>10442010</v>
      </c>
      <c r="E449" s="838">
        <v>52.210500000000003</v>
      </c>
      <c r="F449">
        <f t="shared" si="6"/>
        <v>10.44201</v>
      </c>
    </row>
    <row r="450" spans="2:6">
      <c r="B450" s="837">
        <v>45119</v>
      </c>
      <c r="C450">
        <v>14.72</v>
      </c>
      <c r="D450">
        <v>12558721</v>
      </c>
      <c r="E450" s="838">
        <v>54.947400000000002</v>
      </c>
      <c r="F450">
        <f t="shared" si="6"/>
        <v>12.558721</v>
      </c>
    </row>
    <row r="451" spans="2:6">
      <c r="B451" s="837">
        <v>45118</v>
      </c>
      <c r="C451">
        <v>13.86</v>
      </c>
      <c r="D451">
        <v>10789056</v>
      </c>
      <c r="E451" s="838">
        <v>45.8947</v>
      </c>
      <c r="F451">
        <f t="shared" si="6"/>
        <v>10.789056</v>
      </c>
    </row>
    <row r="452" spans="2:6">
      <c r="B452" s="837">
        <v>45117</v>
      </c>
      <c r="C452">
        <v>14.03</v>
      </c>
      <c r="D452">
        <v>9416803</v>
      </c>
      <c r="E452" s="838">
        <v>47.684199999999997</v>
      </c>
      <c r="F452">
        <f t="shared" si="6"/>
        <v>9.4168029999999998</v>
      </c>
    </row>
    <row r="453" spans="2:6">
      <c r="B453" s="837">
        <v>45114</v>
      </c>
      <c r="C453">
        <v>13.28</v>
      </c>
      <c r="D453">
        <v>8341607</v>
      </c>
      <c r="E453" s="838">
        <v>39.789499999999997</v>
      </c>
      <c r="F453">
        <f t="shared" si="6"/>
        <v>8.3416069999999998</v>
      </c>
    </row>
    <row r="454" spans="2:6">
      <c r="B454" s="837">
        <v>45113</v>
      </c>
      <c r="C454">
        <v>13.29</v>
      </c>
      <c r="D454">
        <v>10300282</v>
      </c>
      <c r="E454" s="838">
        <v>39.8947</v>
      </c>
      <c r="F454">
        <f t="shared" ref="F454:F517" si="7">D454/1000000</f>
        <v>10.300281999999999</v>
      </c>
    </row>
    <row r="455" spans="2:6">
      <c r="B455" s="837">
        <v>45112</v>
      </c>
      <c r="C455">
        <v>14.12</v>
      </c>
      <c r="D455">
        <v>13877215</v>
      </c>
      <c r="E455" s="838">
        <v>48.631599999999999</v>
      </c>
      <c r="F455">
        <f t="shared" si="7"/>
        <v>13.877215</v>
      </c>
    </row>
    <row r="456" spans="2:6">
      <c r="B456" s="837">
        <v>45110</v>
      </c>
      <c r="C456">
        <v>13.5</v>
      </c>
      <c r="D456">
        <v>6078634</v>
      </c>
      <c r="E456" s="838">
        <v>42.1053</v>
      </c>
      <c r="F456">
        <f t="shared" si="7"/>
        <v>6.0786340000000001</v>
      </c>
    </row>
    <row r="457" spans="2:6">
      <c r="B457" s="837">
        <v>45107</v>
      </c>
      <c r="C457">
        <v>13.53</v>
      </c>
      <c r="D457">
        <v>17052268</v>
      </c>
      <c r="E457" s="838">
        <v>42.421100000000003</v>
      </c>
      <c r="F457">
        <f t="shared" si="7"/>
        <v>17.052268000000002</v>
      </c>
    </row>
    <row r="458" spans="2:6">
      <c r="B458" s="837">
        <v>45106</v>
      </c>
      <c r="C458">
        <v>13.53</v>
      </c>
      <c r="D458">
        <v>17017590</v>
      </c>
      <c r="E458" s="838">
        <v>42.421100000000003</v>
      </c>
      <c r="F458">
        <f t="shared" si="7"/>
        <v>17.017589999999998</v>
      </c>
    </row>
    <row r="459" spans="2:6">
      <c r="B459" s="837">
        <v>45105</v>
      </c>
      <c r="C459">
        <v>13.35</v>
      </c>
      <c r="D459">
        <v>34141664</v>
      </c>
      <c r="E459" s="838">
        <v>40.526299999999999</v>
      </c>
      <c r="F459">
        <f t="shared" si="7"/>
        <v>34.141663999999999</v>
      </c>
    </row>
    <row r="460" spans="2:6">
      <c r="B460" s="837">
        <v>45104</v>
      </c>
      <c r="C460">
        <v>10.81</v>
      </c>
      <c r="D460">
        <v>8606689</v>
      </c>
      <c r="E460" s="838">
        <v>13.7895</v>
      </c>
      <c r="F460">
        <f t="shared" si="7"/>
        <v>8.6066889999999994</v>
      </c>
    </row>
    <row r="461" spans="2:6">
      <c r="B461" s="837">
        <v>45103</v>
      </c>
      <c r="C461">
        <v>10.33</v>
      </c>
      <c r="D461">
        <v>17817688</v>
      </c>
      <c r="E461" s="838">
        <v>8.7368000000000006</v>
      </c>
      <c r="F461">
        <f t="shared" si="7"/>
        <v>17.817688</v>
      </c>
    </row>
    <row r="462" spans="2:6">
      <c r="B462" s="837">
        <v>45100</v>
      </c>
      <c r="C462">
        <v>9.3699999999999992</v>
      </c>
      <c r="D462">
        <v>22404090</v>
      </c>
      <c r="E462" s="838">
        <v>-1.3684000000000001</v>
      </c>
      <c r="F462">
        <f t="shared" si="7"/>
        <v>22.40409</v>
      </c>
    </row>
    <row r="463" spans="2:6">
      <c r="B463" s="837">
        <v>45099</v>
      </c>
      <c r="C463">
        <v>9.43</v>
      </c>
      <c r="D463">
        <v>7220222</v>
      </c>
      <c r="E463" s="838">
        <v>-0.73680000000000001</v>
      </c>
      <c r="F463">
        <f t="shared" si="7"/>
        <v>7.2202219999999997</v>
      </c>
    </row>
    <row r="464" spans="2:6">
      <c r="B464" s="837">
        <v>45098</v>
      </c>
      <c r="C464">
        <v>9.2200000000000006</v>
      </c>
      <c r="D464">
        <v>7077978</v>
      </c>
      <c r="E464" s="838">
        <v>-2.9474</v>
      </c>
      <c r="F464">
        <f t="shared" si="7"/>
        <v>7.0779779999999999</v>
      </c>
    </row>
    <row r="465" spans="2:6">
      <c r="B465" s="837">
        <v>45097</v>
      </c>
      <c r="C465">
        <v>9.31</v>
      </c>
      <c r="D465">
        <v>6761171</v>
      </c>
      <c r="E465" s="838">
        <v>-2</v>
      </c>
      <c r="F465">
        <f t="shared" si="7"/>
        <v>6.761171</v>
      </c>
    </row>
    <row r="466" spans="2:6">
      <c r="B466" s="837">
        <v>45093</v>
      </c>
      <c r="C466">
        <v>9.6999999999999993</v>
      </c>
      <c r="D466">
        <v>5951336</v>
      </c>
      <c r="E466" s="838">
        <v>2.1053000000000002</v>
      </c>
      <c r="F466">
        <f t="shared" si="7"/>
        <v>5.9513360000000004</v>
      </c>
    </row>
    <row r="467" spans="2:6">
      <c r="B467" s="837">
        <v>45092</v>
      </c>
      <c r="C467">
        <v>9.94</v>
      </c>
      <c r="D467">
        <v>5935185</v>
      </c>
      <c r="E467" s="838">
        <v>4.6315999999999997</v>
      </c>
      <c r="F467">
        <f t="shared" si="7"/>
        <v>5.9351849999999997</v>
      </c>
    </row>
    <row r="468" spans="2:6">
      <c r="B468" s="837">
        <v>45091</v>
      </c>
      <c r="C468">
        <v>9.94</v>
      </c>
      <c r="D468">
        <v>19989280</v>
      </c>
      <c r="E468" s="838">
        <v>4.6315999999999997</v>
      </c>
      <c r="F468">
        <f t="shared" si="7"/>
        <v>19.989280000000001</v>
      </c>
    </row>
    <row r="469" spans="2:6">
      <c r="B469" s="837">
        <v>45090</v>
      </c>
      <c r="C469">
        <v>10.63</v>
      </c>
      <c r="D469">
        <v>10530357</v>
      </c>
      <c r="E469" s="838">
        <v>11.8947</v>
      </c>
      <c r="F469">
        <f t="shared" si="7"/>
        <v>10.530357</v>
      </c>
    </row>
    <row r="470" spans="2:6">
      <c r="B470" s="837">
        <v>45089</v>
      </c>
      <c r="C470">
        <v>10.54</v>
      </c>
      <c r="D470">
        <v>8760211</v>
      </c>
      <c r="E470" s="838">
        <v>10.9474</v>
      </c>
      <c r="F470">
        <f t="shared" si="7"/>
        <v>8.760211</v>
      </c>
    </row>
    <row r="471" spans="2:6">
      <c r="B471" s="837">
        <v>45086</v>
      </c>
      <c r="C471">
        <v>10.55</v>
      </c>
      <c r="D471">
        <v>10992737</v>
      </c>
      <c r="E471" s="838">
        <v>11.0526</v>
      </c>
      <c r="F471">
        <f t="shared" si="7"/>
        <v>10.992737</v>
      </c>
    </row>
    <row r="472" spans="2:6">
      <c r="B472" s="837">
        <v>45085</v>
      </c>
      <c r="C472">
        <v>10.65</v>
      </c>
      <c r="D472">
        <v>12100056</v>
      </c>
      <c r="E472" s="838">
        <v>12.1053</v>
      </c>
      <c r="F472">
        <f t="shared" si="7"/>
        <v>12.100056</v>
      </c>
    </row>
    <row r="473" spans="2:6">
      <c r="B473" s="837">
        <v>45084</v>
      </c>
      <c r="C473">
        <v>9.4499999999999993</v>
      </c>
      <c r="D473">
        <v>9282549</v>
      </c>
      <c r="E473" s="838">
        <v>-0.52629999999999999</v>
      </c>
      <c r="F473">
        <f t="shared" si="7"/>
        <v>9.2825489999999995</v>
      </c>
    </row>
    <row r="474" spans="2:6">
      <c r="B474" s="837">
        <v>45083</v>
      </c>
      <c r="C474">
        <v>9.81</v>
      </c>
      <c r="D474">
        <v>8085418</v>
      </c>
      <c r="E474" s="838">
        <v>3.2631999999999999</v>
      </c>
      <c r="F474">
        <f t="shared" si="7"/>
        <v>8.0854180000000007</v>
      </c>
    </row>
    <row r="475" spans="2:6">
      <c r="B475" s="837">
        <v>45082</v>
      </c>
      <c r="C475">
        <v>9.84</v>
      </c>
      <c r="D475">
        <v>9116169</v>
      </c>
      <c r="E475" s="838">
        <v>3.5789</v>
      </c>
      <c r="F475">
        <f t="shared" si="7"/>
        <v>9.1161689999999993</v>
      </c>
    </row>
    <row r="476" spans="2:6">
      <c r="B476" s="837">
        <v>45079</v>
      </c>
      <c r="C476">
        <v>9.2200000000000006</v>
      </c>
      <c r="D476">
        <v>16664523</v>
      </c>
      <c r="E476" s="838">
        <v>-2.9474</v>
      </c>
      <c r="F476">
        <f t="shared" si="7"/>
        <v>16.664522999999999</v>
      </c>
    </row>
    <row r="477" spans="2:6">
      <c r="B477" s="837">
        <v>45078</v>
      </c>
      <c r="C477">
        <v>10.72</v>
      </c>
      <c r="D477">
        <v>13483072</v>
      </c>
      <c r="E477" s="838">
        <v>12.8421</v>
      </c>
      <c r="F477">
        <f t="shared" si="7"/>
        <v>13.483072</v>
      </c>
    </row>
    <row r="478" spans="2:6">
      <c r="B478" s="837">
        <v>45077</v>
      </c>
      <c r="C478">
        <v>10.79</v>
      </c>
      <c r="D478">
        <v>11492036</v>
      </c>
      <c r="E478" s="838">
        <v>13.578900000000001</v>
      </c>
      <c r="F478">
        <f t="shared" si="7"/>
        <v>11.492036000000001</v>
      </c>
    </row>
    <row r="479" spans="2:6">
      <c r="B479" s="837">
        <v>45076</v>
      </c>
      <c r="C479">
        <v>10.99</v>
      </c>
      <c r="D479">
        <v>15712410</v>
      </c>
      <c r="E479" s="838">
        <v>15.684200000000001</v>
      </c>
      <c r="F479">
        <f t="shared" si="7"/>
        <v>15.71241</v>
      </c>
    </row>
    <row r="480" spans="2:6">
      <c r="B480" s="837">
        <v>45072</v>
      </c>
      <c r="C480">
        <v>10</v>
      </c>
      <c r="D480">
        <v>10900923</v>
      </c>
      <c r="E480" s="838">
        <v>5.2632000000000003</v>
      </c>
      <c r="F480">
        <f t="shared" si="7"/>
        <v>10.900923000000001</v>
      </c>
    </row>
    <row r="481" spans="2:6">
      <c r="B481" s="837">
        <v>45071</v>
      </c>
      <c r="C481">
        <v>9.35</v>
      </c>
      <c r="D481">
        <v>16432897</v>
      </c>
      <c r="E481" s="838">
        <v>-1.5789</v>
      </c>
      <c r="F481">
        <f t="shared" si="7"/>
        <v>16.432897000000001</v>
      </c>
    </row>
    <row r="482" spans="2:6">
      <c r="B482" s="837">
        <v>45070</v>
      </c>
      <c r="C482">
        <v>10.24</v>
      </c>
      <c r="D482">
        <v>15813853</v>
      </c>
      <c r="E482" s="838">
        <v>7.7895000000000003</v>
      </c>
      <c r="F482">
        <f t="shared" si="7"/>
        <v>15.813853</v>
      </c>
    </row>
    <row r="483" spans="2:6">
      <c r="B483" s="837">
        <v>45069</v>
      </c>
      <c r="C483">
        <v>10.83</v>
      </c>
      <c r="D483">
        <v>17921024</v>
      </c>
      <c r="E483" s="838">
        <v>14</v>
      </c>
      <c r="F483">
        <f t="shared" si="7"/>
        <v>17.921023999999999</v>
      </c>
    </row>
    <row r="484" spans="2:6">
      <c r="B484" s="837">
        <v>45068</v>
      </c>
      <c r="C484">
        <v>10.86</v>
      </c>
      <c r="D484">
        <v>26211096</v>
      </c>
      <c r="E484" s="838">
        <v>14.315799999999999</v>
      </c>
      <c r="F484">
        <f t="shared" si="7"/>
        <v>26.211096000000001</v>
      </c>
    </row>
    <row r="485" spans="2:6">
      <c r="B485" s="837">
        <v>45065</v>
      </c>
      <c r="C485">
        <v>8.8800000000000008</v>
      </c>
      <c r="D485">
        <v>7209879</v>
      </c>
      <c r="E485" s="838">
        <v>-6.5263</v>
      </c>
      <c r="F485">
        <f t="shared" si="7"/>
        <v>7.2098789999999999</v>
      </c>
    </row>
    <row r="486" spans="2:6">
      <c r="B486" s="837">
        <v>45064</v>
      </c>
      <c r="C486">
        <v>9.09</v>
      </c>
      <c r="D486">
        <v>14432007</v>
      </c>
      <c r="E486" s="838">
        <v>-4.3158000000000003</v>
      </c>
      <c r="F486">
        <f t="shared" si="7"/>
        <v>14.432007</v>
      </c>
    </row>
    <row r="487" spans="2:6">
      <c r="B487" s="837">
        <v>45063</v>
      </c>
      <c r="C487">
        <v>8.9600000000000009</v>
      </c>
      <c r="D487">
        <v>13777041</v>
      </c>
      <c r="E487" s="838">
        <v>-5.6841999999999997</v>
      </c>
      <c r="F487">
        <f t="shared" si="7"/>
        <v>13.777041000000001</v>
      </c>
    </row>
    <row r="488" spans="2:6">
      <c r="B488" s="837">
        <v>45062</v>
      </c>
      <c r="C488">
        <v>7.99</v>
      </c>
      <c r="D488">
        <v>12604317</v>
      </c>
      <c r="E488" s="838">
        <v>-15.8947</v>
      </c>
      <c r="F488">
        <f t="shared" si="7"/>
        <v>12.604317</v>
      </c>
    </row>
    <row r="489" spans="2:6">
      <c r="B489" s="837">
        <v>45061</v>
      </c>
      <c r="C489">
        <v>7.34</v>
      </c>
      <c r="D489">
        <v>7741744</v>
      </c>
      <c r="E489" s="838">
        <v>-22.736799999999999</v>
      </c>
      <c r="F489">
        <f t="shared" si="7"/>
        <v>7.7417439999999997</v>
      </c>
    </row>
    <row r="490" spans="2:6">
      <c r="B490" s="837">
        <v>45058</v>
      </c>
      <c r="C490">
        <v>6.35</v>
      </c>
      <c r="D490">
        <v>9156548</v>
      </c>
      <c r="E490" s="838">
        <v>-33.157899999999998</v>
      </c>
      <c r="F490">
        <f t="shared" si="7"/>
        <v>9.1565480000000008</v>
      </c>
    </row>
    <row r="491" spans="2:6">
      <c r="B491" s="837">
        <v>45057</v>
      </c>
      <c r="C491">
        <v>7.02</v>
      </c>
      <c r="D491">
        <v>9256522</v>
      </c>
      <c r="E491" s="838">
        <v>-26.1053</v>
      </c>
      <c r="F491">
        <f t="shared" si="7"/>
        <v>9.2565220000000004</v>
      </c>
    </row>
    <row r="492" spans="2:6">
      <c r="B492" s="837">
        <v>45056</v>
      </c>
      <c r="C492">
        <v>6.95</v>
      </c>
      <c r="D492">
        <v>5292635</v>
      </c>
      <c r="E492" s="838">
        <v>-26.842099999999999</v>
      </c>
      <c r="F492">
        <f t="shared" si="7"/>
        <v>5.2926349999999998</v>
      </c>
    </row>
    <row r="493" spans="2:6">
      <c r="B493" s="837">
        <v>45055</v>
      </c>
      <c r="C493">
        <v>6.38</v>
      </c>
      <c r="D493">
        <v>3731943</v>
      </c>
      <c r="E493" s="838">
        <v>-32.842100000000002</v>
      </c>
      <c r="F493">
        <f t="shared" si="7"/>
        <v>3.7319429999999998</v>
      </c>
    </row>
    <row r="494" spans="2:6">
      <c r="B494" s="837">
        <v>45054</v>
      </c>
      <c r="C494">
        <v>6.15</v>
      </c>
      <c r="D494">
        <v>4032566</v>
      </c>
      <c r="E494" s="838">
        <v>-35.263199999999998</v>
      </c>
      <c r="F494">
        <f t="shared" si="7"/>
        <v>4.0325660000000001</v>
      </c>
    </row>
    <row r="495" spans="2:6">
      <c r="B495" s="837">
        <v>45051</v>
      </c>
      <c r="C495">
        <v>5.9</v>
      </c>
      <c r="D495">
        <v>4138349</v>
      </c>
      <c r="E495" s="838">
        <v>-37.8947</v>
      </c>
      <c r="F495">
        <f t="shared" si="7"/>
        <v>4.1383489999999998</v>
      </c>
    </row>
    <row r="496" spans="2:6">
      <c r="B496" s="837">
        <v>45050</v>
      </c>
      <c r="C496">
        <v>5.57</v>
      </c>
      <c r="D496">
        <v>2591466</v>
      </c>
      <c r="E496" s="838">
        <v>-41.368400000000001</v>
      </c>
      <c r="F496">
        <f t="shared" si="7"/>
        <v>2.591466</v>
      </c>
    </row>
    <row r="497" spans="2:6">
      <c r="B497" s="837">
        <v>45049</v>
      </c>
      <c r="C497">
        <v>5.41</v>
      </c>
      <c r="D497">
        <v>2418509</v>
      </c>
      <c r="E497" s="838">
        <v>-43.052599999999998</v>
      </c>
      <c r="F497">
        <f t="shared" si="7"/>
        <v>2.4185089999999998</v>
      </c>
    </row>
    <row r="498" spans="2:6">
      <c r="B498" s="837">
        <v>45048</v>
      </c>
      <c r="C498">
        <v>5.31</v>
      </c>
      <c r="D498">
        <v>2767372</v>
      </c>
      <c r="E498" s="838">
        <v>-44.1053</v>
      </c>
      <c r="F498">
        <f t="shared" si="7"/>
        <v>2.7673719999999999</v>
      </c>
    </row>
    <row r="499" spans="2:6">
      <c r="B499" s="837">
        <v>45047</v>
      </c>
      <c r="C499">
        <v>5.49</v>
      </c>
      <c r="D499">
        <v>3298439</v>
      </c>
      <c r="E499" s="838">
        <v>-42.210500000000003</v>
      </c>
      <c r="F499">
        <f t="shared" si="7"/>
        <v>3.2984390000000001</v>
      </c>
    </row>
    <row r="500" spans="2:6">
      <c r="B500" s="837">
        <v>45044</v>
      </c>
      <c r="C500">
        <v>5.51</v>
      </c>
      <c r="D500">
        <v>2645328</v>
      </c>
      <c r="E500" s="838">
        <v>-42</v>
      </c>
      <c r="F500">
        <f t="shared" si="7"/>
        <v>2.6453280000000001</v>
      </c>
    </row>
    <row r="501" spans="2:6">
      <c r="B501" s="837">
        <v>45043</v>
      </c>
      <c r="C501">
        <v>5.55</v>
      </c>
      <c r="D501">
        <v>2497861</v>
      </c>
      <c r="E501" s="838">
        <v>-41.578899999999997</v>
      </c>
      <c r="F501">
        <f t="shared" si="7"/>
        <v>2.4978609999999999</v>
      </c>
    </row>
    <row r="502" spans="2:6">
      <c r="B502" s="837">
        <v>45042</v>
      </c>
      <c r="C502">
        <v>5.4</v>
      </c>
      <c r="D502">
        <v>3079313</v>
      </c>
      <c r="E502" s="838">
        <v>-43.157899999999998</v>
      </c>
      <c r="F502">
        <f t="shared" si="7"/>
        <v>3.079313</v>
      </c>
    </row>
    <row r="503" spans="2:6">
      <c r="B503" s="837">
        <v>45041</v>
      </c>
      <c r="C503">
        <v>5.51</v>
      </c>
      <c r="D503">
        <v>3922357</v>
      </c>
      <c r="E503" s="838">
        <v>-42</v>
      </c>
      <c r="F503">
        <f t="shared" si="7"/>
        <v>3.9223569999999999</v>
      </c>
    </row>
    <row r="504" spans="2:6">
      <c r="B504" s="837">
        <v>45040</v>
      </c>
      <c r="C504">
        <v>5.84</v>
      </c>
      <c r="D504">
        <v>4710023</v>
      </c>
      <c r="E504" s="838">
        <v>-38.526299999999999</v>
      </c>
      <c r="F504">
        <f t="shared" si="7"/>
        <v>4.7100229999999996</v>
      </c>
    </row>
    <row r="505" spans="2:6">
      <c r="B505" s="837">
        <v>45037</v>
      </c>
      <c r="C505">
        <v>6.25</v>
      </c>
      <c r="D505">
        <v>2363024</v>
      </c>
      <c r="E505" s="838">
        <v>-34.210500000000003</v>
      </c>
      <c r="F505">
        <f t="shared" si="7"/>
        <v>2.3630239999999998</v>
      </c>
    </row>
    <row r="506" spans="2:6">
      <c r="B506" s="837">
        <v>45036</v>
      </c>
      <c r="C506">
        <v>6.1</v>
      </c>
      <c r="D506">
        <v>3137051</v>
      </c>
      <c r="E506" s="838">
        <v>-35.789499999999997</v>
      </c>
      <c r="F506">
        <f t="shared" si="7"/>
        <v>3.137051</v>
      </c>
    </row>
    <row r="507" spans="2:6">
      <c r="B507" s="837">
        <v>45035</v>
      </c>
      <c r="C507">
        <v>6.28</v>
      </c>
      <c r="D507">
        <v>2708376</v>
      </c>
      <c r="E507" s="838">
        <v>-33.8947</v>
      </c>
      <c r="F507">
        <f t="shared" si="7"/>
        <v>2.7083759999999999</v>
      </c>
    </row>
    <row r="508" spans="2:6">
      <c r="B508" s="837">
        <v>45034</v>
      </c>
      <c r="C508">
        <v>6.4</v>
      </c>
      <c r="D508">
        <v>3666535</v>
      </c>
      <c r="E508" s="838">
        <v>-32.631599999999999</v>
      </c>
      <c r="F508">
        <f t="shared" si="7"/>
        <v>3.6665350000000001</v>
      </c>
    </row>
    <row r="509" spans="2:6">
      <c r="B509" s="837">
        <v>45033</v>
      </c>
      <c r="C509">
        <v>6.55</v>
      </c>
      <c r="D509">
        <v>3321667</v>
      </c>
      <c r="E509" s="838">
        <v>-31.052600000000002</v>
      </c>
      <c r="F509">
        <f t="shared" si="7"/>
        <v>3.3216670000000001</v>
      </c>
    </row>
    <row r="510" spans="2:6">
      <c r="B510" s="837">
        <v>45030</v>
      </c>
      <c r="C510">
        <v>6.71</v>
      </c>
      <c r="D510">
        <v>3389308</v>
      </c>
      <c r="E510" s="838">
        <v>-29.368400000000001</v>
      </c>
      <c r="F510">
        <f t="shared" si="7"/>
        <v>3.3893080000000002</v>
      </c>
    </row>
    <row r="511" spans="2:6">
      <c r="B511" s="837">
        <v>45029</v>
      </c>
      <c r="C511">
        <v>6.82</v>
      </c>
      <c r="D511">
        <v>3771703</v>
      </c>
      <c r="E511" s="838">
        <v>-28.2105</v>
      </c>
      <c r="F511">
        <f t="shared" si="7"/>
        <v>3.771703</v>
      </c>
    </row>
    <row r="512" spans="2:6">
      <c r="B512" s="837">
        <v>45028</v>
      </c>
      <c r="C512">
        <v>6.59</v>
      </c>
      <c r="D512">
        <v>4389049</v>
      </c>
      <c r="E512" s="838">
        <v>-30.631599999999999</v>
      </c>
      <c r="F512">
        <f t="shared" si="7"/>
        <v>4.389049</v>
      </c>
    </row>
    <row r="513" spans="2:6">
      <c r="B513" s="837">
        <v>45027</v>
      </c>
      <c r="C513">
        <v>6.78</v>
      </c>
      <c r="D513">
        <v>7214963</v>
      </c>
      <c r="E513" s="838">
        <v>-28.631599999999999</v>
      </c>
      <c r="F513">
        <f t="shared" si="7"/>
        <v>7.214963</v>
      </c>
    </row>
    <row r="514" spans="2:6">
      <c r="B514" s="837">
        <v>45026</v>
      </c>
      <c r="C514">
        <v>6.85</v>
      </c>
      <c r="D514">
        <v>5715385</v>
      </c>
      <c r="E514" s="838">
        <v>-27.8947</v>
      </c>
      <c r="F514">
        <f t="shared" si="7"/>
        <v>5.7153850000000004</v>
      </c>
    </row>
    <row r="515" spans="2:6">
      <c r="B515" s="837">
        <v>45022</v>
      </c>
      <c r="C515">
        <v>6.81</v>
      </c>
      <c r="D515">
        <v>6841115</v>
      </c>
      <c r="E515" s="838">
        <v>-28.315799999999999</v>
      </c>
      <c r="F515">
        <f t="shared" si="7"/>
        <v>6.8411150000000003</v>
      </c>
    </row>
    <row r="516" spans="2:6">
      <c r="B516" s="837">
        <v>45021</v>
      </c>
      <c r="C516">
        <v>6.66</v>
      </c>
      <c r="D516">
        <v>12436281</v>
      </c>
      <c r="E516" s="838">
        <v>-29.8947</v>
      </c>
      <c r="F516">
        <f t="shared" si="7"/>
        <v>12.436280999999999</v>
      </c>
    </row>
    <row r="517" spans="2:6">
      <c r="B517" s="837">
        <v>45020</v>
      </c>
      <c r="C517">
        <v>7.07</v>
      </c>
      <c r="D517">
        <v>18441870</v>
      </c>
      <c r="E517" s="838">
        <v>-25.578900000000001</v>
      </c>
      <c r="F517">
        <f t="shared" si="7"/>
        <v>18.441870000000002</v>
      </c>
    </row>
    <row r="518" spans="2:6">
      <c r="B518" s="837">
        <v>45019</v>
      </c>
      <c r="C518">
        <v>6.15</v>
      </c>
      <c r="D518">
        <v>10188073</v>
      </c>
      <c r="E518" s="838">
        <v>-35.263199999999998</v>
      </c>
      <c r="F518">
        <f t="shared" ref="F518:F581" si="8">D518/1000000</f>
        <v>10.188072999999999</v>
      </c>
    </row>
    <row r="519" spans="2:6">
      <c r="B519" s="837">
        <v>45016</v>
      </c>
      <c r="C519">
        <v>6.15</v>
      </c>
      <c r="D519">
        <v>33616028</v>
      </c>
      <c r="E519" s="838">
        <v>-35.263199999999998</v>
      </c>
      <c r="F519">
        <f t="shared" si="8"/>
        <v>33.616028</v>
      </c>
    </row>
    <row r="520" spans="2:6">
      <c r="B520" s="837">
        <v>45015</v>
      </c>
      <c r="C520">
        <v>5.08</v>
      </c>
      <c r="D520">
        <v>4318464</v>
      </c>
      <c r="E520" s="838">
        <v>-46.526299999999999</v>
      </c>
      <c r="F520">
        <f t="shared" si="8"/>
        <v>4.3184639999999996</v>
      </c>
    </row>
    <row r="521" spans="2:6">
      <c r="B521" s="837">
        <v>45014</v>
      </c>
      <c r="C521">
        <v>5.13</v>
      </c>
      <c r="D521">
        <v>3382831</v>
      </c>
      <c r="E521" s="838">
        <v>-46</v>
      </c>
      <c r="F521">
        <f t="shared" si="8"/>
        <v>3.3828309999999999</v>
      </c>
    </row>
    <row r="522" spans="2:6">
      <c r="B522" s="837">
        <v>45013</v>
      </c>
      <c r="C522">
        <v>4.7</v>
      </c>
      <c r="D522">
        <v>4003717</v>
      </c>
      <c r="E522" s="838">
        <v>-50.526299999999999</v>
      </c>
      <c r="F522">
        <f t="shared" si="8"/>
        <v>4.003717</v>
      </c>
    </row>
    <row r="523" spans="2:6">
      <c r="B523" s="837">
        <v>45012</v>
      </c>
      <c r="C523">
        <v>5.12</v>
      </c>
      <c r="D523">
        <v>3741574</v>
      </c>
      <c r="E523" s="838">
        <v>-46.1053</v>
      </c>
      <c r="F523">
        <f t="shared" si="8"/>
        <v>3.741574</v>
      </c>
    </row>
    <row r="524" spans="2:6">
      <c r="B524" s="837">
        <v>45009</v>
      </c>
      <c r="C524">
        <v>4.88</v>
      </c>
      <c r="D524">
        <v>2343160</v>
      </c>
      <c r="E524" s="838">
        <v>-48.631599999999999</v>
      </c>
      <c r="F524">
        <f t="shared" si="8"/>
        <v>2.3431600000000001</v>
      </c>
    </row>
    <row r="525" spans="2:6">
      <c r="B525" s="837">
        <v>45008</v>
      </c>
      <c r="C525">
        <v>4.84</v>
      </c>
      <c r="D525">
        <v>3364727</v>
      </c>
      <c r="E525" s="838">
        <v>-49.052599999999998</v>
      </c>
      <c r="F525">
        <f t="shared" si="8"/>
        <v>3.3647269999999998</v>
      </c>
    </row>
    <row r="526" spans="2:6">
      <c r="B526" s="837">
        <v>45007</v>
      </c>
      <c r="C526">
        <v>4.6500000000000004</v>
      </c>
      <c r="D526">
        <v>2518188</v>
      </c>
      <c r="E526" s="838">
        <v>-51.052599999999998</v>
      </c>
      <c r="F526">
        <f t="shared" si="8"/>
        <v>2.5181879999999999</v>
      </c>
    </row>
    <row r="527" spans="2:6">
      <c r="B527" s="837">
        <v>45006</v>
      </c>
      <c r="C527">
        <v>4.87</v>
      </c>
      <c r="D527">
        <v>5128051</v>
      </c>
      <c r="E527" s="838">
        <v>-48.736800000000002</v>
      </c>
      <c r="F527">
        <f t="shared" si="8"/>
        <v>5.1280510000000001</v>
      </c>
    </row>
    <row r="528" spans="2:6">
      <c r="B528" s="837">
        <v>45005</v>
      </c>
      <c r="C528">
        <v>4.6100000000000003</v>
      </c>
      <c r="D528">
        <v>2310042</v>
      </c>
      <c r="E528" s="838">
        <v>-51.473700000000001</v>
      </c>
      <c r="F528">
        <f t="shared" si="8"/>
        <v>2.3100420000000002</v>
      </c>
    </row>
    <row r="529" spans="2:6">
      <c r="B529" s="837">
        <v>45002</v>
      </c>
      <c r="C529">
        <v>4.7300000000000004</v>
      </c>
      <c r="D529">
        <v>2666111</v>
      </c>
      <c r="E529" s="838">
        <v>-50.210500000000003</v>
      </c>
      <c r="F529">
        <f t="shared" si="8"/>
        <v>2.6661109999999999</v>
      </c>
    </row>
    <row r="530" spans="2:6">
      <c r="B530" s="837">
        <v>45001</v>
      </c>
      <c r="C530">
        <v>4.8</v>
      </c>
      <c r="D530">
        <v>1841694</v>
      </c>
      <c r="E530" s="838">
        <v>-49.473700000000001</v>
      </c>
      <c r="F530">
        <f t="shared" si="8"/>
        <v>1.8416939999999999</v>
      </c>
    </row>
    <row r="531" spans="2:6">
      <c r="B531" s="837">
        <v>45000</v>
      </c>
      <c r="C531">
        <v>4.7699999999999996</v>
      </c>
      <c r="D531">
        <v>2366105</v>
      </c>
      <c r="E531" s="838">
        <v>-49.789499999999997</v>
      </c>
      <c r="F531">
        <f t="shared" si="8"/>
        <v>2.3661050000000001</v>
      </c>
    </row>
    <row r="532" spans="2:6">
      <c r="B532" s="837">
        <v>44999</v>
      </c>
      <c r="C532">
        <v>4.79</v>
      </c>
      <c r="D532">
        <v>2361426</v>
      </c>
      <c r="E532" s="838">
        <v>-49.578899999999997</v>
      </c>
      <c r="F532">
        <f t="shared" si="8"/>
        <v>2.3614259999999998</v>
      </c>
    </row>
    <row r="533" spans="2:6">
      <c r="B533" s="837">
        <v>44998</v>
      </c>
      <c r="C533">
        <v>4.71</v>
      </c>
      <c r="D533">
        <v>3784414</v>
      </c>
      <c r="E533" s="838">
        <v>-50.421100000000003</v>
      </c>
      <c r="F533">
        <f t="shared" si="8"/>
        <v>3.7844139999999999</v>
      </c>
    </row>
    <row r="534" spans="2:6">
      <c r="B534" s="837">
        <v>44995</v>
      </c>
      <c r="C534">
        <v>4.5599999999999996</v>
      </c>
      <c r="D534">
        <v>3782810</v>
      </c>
      <c r="E534" s="838">
        <v>-52</v>
      </c>
      <c r="F534">
        <f t="shared" si="8"/>
        <v>3.78281</v>
      </c>
    </row>
    <row r="535" spans="2:6">
      <c r="B535" s="837">
        <v>44994</v>
      </c>
      <c r="C535">
        <v>4.83</v>
      </c>
      <c r="D535">
        <v>3300133</v>
      </c>
      <c r="E535" s="838">
        <v>-49.157899999999998</v>
      </c>
      <c r="F535">
        <f t="shared" si="8"/>
        <v>3.3001330000000002</v>
      </c>
    </row>
    <row r="536" spans="2:6">
      <c r="B536" s="837">
        <v>44993</v>
      </c>
      <c r="C536">
        <v>5.0599999999999996</v>
      </c>
      <c r="D536">
        <v>2135807</v>
      </c>
      <c r="E536" s="838">
        <v>-46.736800000000002</v>
      </c>
      <c r="F536">
        <f t="shared" si="8"/>
        <v>2.1358069999999998</v>
      </c>
    </row>
    <row r="537" spans="2:6">
      <c r="B537" s="837">
        <v>44992</v>
      </c>
      <c r="C537">
        <v>4.9400000000000004</v>
      </c>
      <c r="D537">
        <v>2225456</v>
      </c>
      <c r="E537" s="838">
        <v>-48</v>
      </c>
      <c r="F537">
        <f t="shared" si="8"/>
        <v>2.2254559999999999</v>
      </c>
    </row>
    <row r="538" spans="2:6">
      <c r="B538" s="837">
        <v>44991</v>
      </c>
      <c r="C538">
        <v>4.93</v>
      </c>
      <c r="D538">
        <v>2333712</v>
      </c>
      <c r="E538" s="838">
        <v>-48.1053</v>
      </c>
      <c r="F538">
        <f t="shared" si="8"/>
        <v>2.3337119999999998</v>
      </c>
    </row>
    <row r="539" spans="2:6">
      <c r="B539" s="837">
        <v>44988</v>
      </c>
      <c r="C539">
        <v>5.03</v>
      </c>
      <c r="D539">
        <v>2405759</v>
      </c>
      <c r="E539" s="838">
        <v>-47.052599999999998</v>
      </c>
      <c r="F539">
        <f t="shared" si="8"/>
        <v>2.4057590000000002</v>
      </c>
    </row>
    <row r="540" spans="2:6">
      <c r="B540" s="837">
        <v>44987</v>
      </c>
      <c r="C540">
        <v>4.76</v>
      </c>
      <c r="D540">
        <v>2181653</v>
      </c>
      <c r="E540" s="838">
        <v>-49.8947</v>
      </c>
      <c r="F540">
        <f t="shared" si="8"/>
        <v>2.1816529999999998</v>
      </c>
    </row>
    <row r="541" spans="2:6">
      <c r="B541" s="837">
        <v>44986</v>
      </c>
      <c r="C541">
        <v>4.62</v>
      </c>
      <c r="D541">
        <v>1926985</v>
      </c>
      <c r="E541" s="838">
        <v>-51.368400000000001</v>
      </c>
      <c r="F541">
        <f t="shared" si="8"/>
        <v>1.9269849999999999</v>
      </c>
    </row>
    <row r="542" spans="2:6">
      <c r="B542" s="837">
        <v>44985</v>
      </c>
      <c r="C542">
        <v>4.74</v>
      </c>
      <c r="D542">
        <v>1745296</v>
      </c>
      <c r="E542" s="838">
        <v>-50.1053</v>
      </c>
      <c r="F542">
        <f t="shared" si="8"/>
        <v>1.745296</v>
      </c>
    </row>
    <row r="543" spans="2:6">
      <c r="B543" s="837">
        <v>44984</v>
      </c>
      <c r="C543">
        <v>4.63</v>
      </c>
      <c r="D543">
        <v>1413194</v>
      </c>
      <c r="E543" s="838">
        <v>-51.263199999999998</v>
      </c>
      <c r="F543">
        <f t="shared" si="8"/>
        <v>1.4131940000000001</v>
      </c>
    </row>
    <row r="544" spans="2:6">
      <c r="B544" s="837">
        <v>44981</v>
      </c>
      <c r="C544">
        <v>4.57</v>
      </c>
      <c r="D544">
        <v>2326853</v>
      </c>
      <c r="E544" s="838">
        <v>-51.8947</v>
      </c>
      <c r="F544">
        <f t="shared" si="8"/>
        <v>2.3268529999999998</v>
      </c>
    </row>
    <row r="545" spans="2:6">
      <c r="B545" s="837">
        <v>44980</v>
      </c>
      <c r="C545">
        <v>4.78</v>
      </c>
      <c r="D545">
        <v>2380940</v>
      </c>
      <c r="E545" s="838">
        <v>-49.684199999999997</v>
      </c>
      <c r="F545">
        <f t="shared" si="8"/>
        <v>2.3809399999999998</v>
      </c>
    </row>
    <row r="546" spans="2:6">
      <c r="B546" s="837">
        <v>44979</v>
      </c>
      <c r="C546">
        <v>4.76</v>
      </c>
      <c r="D546">
        <v>2515159</v>
      </c>
      <c r="E546" s="838">
        <v>-49.8947</v>
      </c>
      <c r="F546">
        <f t="shared" si="8"/>
        <v>2.5151590000000001</v>
      </c>
    </row>
    <row r="547" spans="2:6">
      <c r="B547" s="837">
        <v>44978</v>
      </c>
      <c r="C547">
        <v>4.6399999999999997</v>
      </c>
      <c r="D547">
        <v>2904938</v>
      </c>
      <c r="E547" s="838">
        <v>-51.157899999999998</v>
      </c>
      <c r="F547">
        <f t="shared" si="8"/>
        <v>2.904938</v>
      </c>
    </row>
    <row r="548" spans="2:6">
      <c r="B548" s="837">
        <v>44974</v>
      </c>
      <c r="C548">
        <v>4.88</v>
      </c>
      <c r="D548">
        <v>3684472</v>
      </c>
      <c r="E548" s="838">
        <v>-48.631599999999999</v>
      </c>
      <c r="F548">
        <f t="shared" si="8"/>
        <v>3.684472</v>
      </c>
    </row>
    <row r="549" spans="2:6">
      <c r="B549" s="837">
        <v>44973</v>
      </c>
      <c r="C549">
        <v>5.28</v>
      </c>
      <c r="D549">
        <v>3491469</v>
      </c>
      <c r="E549" s="838">
        <v>-44.421100000000003</v>
      </c>
      <c r="F549">
        <f t="shared" si="8"/>
        <v>3.4914689999999999</v>
      </c>
    </row>
    <row r="550" spans="2:6">
      <c r="B550" s="837">
        <v>44972</v>
      </c>
      <c r="C550">
        <v>5.65</v>
      </c>
      <c r="D550">
        <v>5544942</v>
      </c>
      <c r="E550" s="838">
        <v>-40.526299999999999</v>
      </c>
      <c r="F550">
        <f t="shared" si="8"/>
        <v>5.5449419999999998</v>
      </c>
    </row>
    <row r="551" spans="2:6">
      <c r="B551" s="837">
        <v>44971</v>
      </c>
      <c r="C551">
        <v>4.99</v>
      </c>
      <c r="D551">
        <v>3955981</v>
      </c>
      <c r="E551" s="838">
        <v>-47.473700000000001</v>
      </c>
      <c r="F551">
        <f t="shared" si="8"/>
        <v>3.955981</v>
      </c>
    </row>
    <row r="552" spans="2:6">
      <c r="B552" s="837">
        <v>44970</v>
      </c>
      <c r="C552">
        <v>4.8899999999999997</v>
      </c>
      <c r="D552">
        <v>2522008</v>
      </c>
      <c r="E552" s="838">
        <v>-48.526299999999999</v>
      </c>
      <c r="F552">
        <f t="shared" si="8"/>
        <v>2.522008</v>
      </c>
    </row>
    <row r="553" spans="2:6">
      <c r="B553" s="837">
        <v>44967</v>
      </c>
      <c r="C553">
        <v>4.8099999999999996</v>
      </c>
      <c r="D553">
        <v>2746900</v>
      </c>
      <c r="E553" s="838">
        <v>-49.368400000000001</v>
      </c>
      <c r="F553">
        <f t="shared" si="8"/>
        <v>2.7469000000000001</v>
      </c>
    </row>
    <row r="554" spans="2:6">
      <c r="B554" s="837">
        <v>44966</v>
      </c>
      <c r="C554">
        <v>4.6900000000000004</v>
      </c>
      <c r="D554">
        <v>4728603</v>
      </c>
      <c r="E554" s="838">
        <v>-50.631599999999999</v>
      </c>
      <c r="F554">
        <f t="shared" si="8"/>
        <v>4.7286029999999997</v>
      </c>
    </row>
    <row r="555" spans="2:6">
      <c r="B555" s="837">
        <v>44965</v>
      </c>
      <c r="C555">
        <v>5.13</v>
      </c>
      <c r="D555">
        <v>3321220</v>
      </c>
      <c r="E555" s="838">
        <v>-46</v>
      </c>
      <c r="F555">
        <f t="shared" si="8"/>
        <v>3.3212199999999998</v>
      </c>
    </row>
    <row r="556" spans="2:6">
      <c r="B556" s="837">
        <v>44964</v>
      </c>
      <c r="C556">
        <v>5.15</v>
      </c>
      <c r="D556">
        <v>5826551</v>
      </c>
      <c r="E556" s="838">
        <v>-45.789499999999997</v>
      </c>
      <c r="F556">
        <f t="shared" si="8"/>
        <v>5.8265510000000003</v>
      </c>
    </row>
    <row r="557" spans="2:6">
      <c r="B557" s="837">
        <v>44963</v>
      </c>
      <c r="C557">
        <v>5.41</v>
      </c>
      <c r="D557">
        <v>9931635</v>
      </c>
      <c r="E557" s="838">
        <v>-43.052599999999998</v>
      </c>
      <c r="F557">
        <f t="shared" si="8"/>
        <v>9.931635</v>
      </c>
    </row>
    <row r="558" spans="2:6">
      <c r="B558" s="837">
        <v>44960</v>
      </c>
      <c r="C558">
        <v>5.5</v>
      </c>
      <c r="D558">
        <v>4767473</v>
      </c>
      <c r="E558" s="838">
        <v>-42.1053</v>
      </c>
      <c r="F558">
        <f t="shared" si="8"/>
        <v>4.7674729999999998</v>
      </c>
    </row>
    <row r="559" spans="2:6">
      <c r="B559" s="837">
        <v>44959</v>
      </c>
      <c r="C559">
        <v>5.49</v>
      </c>
      <c r="D559">
        <v>7545171</v>
      </c>
      <c r="E559" s="838">
        <v>-42.210500000000003</v>
      </c>
      <c r="F559">
        <f t="shared" si="8"/>
        <v>7.5451709999999999</v>
      </c>
    </row>
    <row r="560" spans="2:6">
      <c r="B560" s="837">
        <v>44958</v>
      </c>
      <c r="C560">
        <v>4.76</v>
      </c>
      <c r="D560">
        <v>4175127</v>
      </c>
      <c r="E560" s="838">
        <v>-49.8947</v>
      </c>
      <c r="F560">
        <f t="shared" si="8"/>
        <v>4.1751269999999998</v>
      </c>
    </row>
    <row r="561" spans="2:6">
      <c r="B561" s="837">
        <v>44957</v>
      </c>
      <c r="C561">
        <v>4.4400000000000004</v>
      </c>
      <c r="D561">
        <v>2490918</v>
      </c>
      <c r="E561" s="838">
        <v>-53.263199999999998</v>
      </c>
      <c r="F561">
        <f t="shared" si="8"/>
        <v>2.4909180000000002</v>
      </c>
    </row>
    <row r="562" spans="2:6">
      <c r="B562" s="837">
        <v>44956</v>
      </c>
      <c r="C562">
        <v>4.46</v>
      </c>
      <c r="D562">
        <v>2272851</v>
      </c>
      <c r="E562" s="838">
        <v>-53.052599999999998</v>
      </c>
      <c r="F562">
        <f t="shared" si="8"/>
        <v>2.2728510000000002</v>
      </c>
    </row>
    <row r="563" spans="2:6">
      <c r="B563" s="837">
        <v>44953</v>
      </c>
      <c r="C563">
        <v>4.49</v>
      </c>
      <c r="D563">
        <v>4102644</v>
      </c>
      <c r="E563" s="838">
        <v>-52.736800000000002</v>
      </c>
      <c r="F563">
        <f t="shared" si="8"/>
        <v>4.1026439999999997</v>
      </c>
    </row>
    <row r="564" spans="2:6">
      <c r="B564" s="837">
        <v>44952</v>
      </c>
      <c r="C564">
        <v>4.54</v>
      </c>
      <c r="D564">
        <v>3110206</v>
      </c>
      <c r="E564" s="838">
        <v>-52.210500000000003</v>
      </c>
      <c r="F564">
        <f t="shared" si="8"/>
        <v>3.1102059999999998</v>
      </c>
    </row>
    <row r="565" spans="2:6">
      <c r="B565" s="837">
        <v>44951</v>
      </c>
      <c r="C565">
        <v>4.5</v>
      </c>
      <c r="D565">
        <v>1582730</v>
      </c>
      <c r="E565" s="838">
        <v>-52.631599999999999</v>
      </c>
      <c r="F565">
        <f t="shared" si="8"/>
        <v>1.58273</v>
      </c>
    </row>
    <row r="566" spans="2:6">
      <c r="B566" s="837">
        <v>44950</v>
      </c>
      <c r="C566">
        <v>4.4400000000000004</v>
      </c>
      <c r="D566">
        <v>1794776</v>
      </c>
      <c r="E566" s="838">
        <v>-53.263199999999998</v>
      </c>
      <c r="F566">
        <f t="shared" si="8"/>
        <v>1.7947759999999999</v>
      </c>
    </row>
    <row r="567" spans="2:6">
      <c r="B567" s="837">
        <v>44949</v>
      </c>
      <c r="C567">
        <v>4.5</v>
      </c>
      <c r="D567">
        <v>3859992</v>
      </c>
      <c r="E567" s="838">
        <v>-52.631599999999999</v>
      </c>
      <c r="F567">
        <f t="shared" si="8"/>
        <v>3.8599920000000001</v>
      </c>
    </row>
    <row r="568" spans="2:6">
      <c r="B568" s="837">
        <v>44946</v>
      </c>
      <c r="C568">
        <v>4.34</v>
      </c>
      <c r="D568">
        <v>3701080</v>
      </c>
      <c r="E568" s="838">
        <v>-54.315800000000003</v>
      </c>
      <c r="F568">
        <f t="shared" si="8"/>
        <v>3.7010800000000001</v>
      </c>
    </row>
    <row r="569" spans="2:6">
      <c r="B569" s="837">
        <v>44945</v>
      </c>
      <c r="C569">
        <v>4.0199999999999996</v>
      </c>
      <c r="D569">
        <v>1799572</v>
      </c>
      <c r="E569" s="838">
        <v>-57.684199999999997</v>
      </c>
      <c r="F569">
        <f t="shared" si="8"/>
        <v>1.7995719999999999</v>
      </c>
    </row>
    <row r="570" spans="2:6">
      <c r="B570" s="837">
        <v>44944</v>
      </c>
      <c r="C570">
        <v>4.2</v>
      </c>
      <c r="D570">
        <v>2382907</v>
      </c>
      <c r="E570" s="838">
        <v>-55.789499999999997</v>
      </c>
      <c r="F570">
        <f t="shared" si="8"/>
        <v>2.3829069999999999</v>
      </c>
    </row>
    <row r="571" spans="2:6">
      <c r="B571" s="837">
        <v>44943</v>
      </c>
      <c r="C571">
        <v>4.3499999999999996</v>
      </c>
      <c r="D571">
        <v>3102232</v>
      </c>
      <c r="E571" s="838">
        <v>-54.210500000000003</v>
      </c>
      <c r="F571">
        <f t="shared" si="8"/>
        <v>3.1022319999999999</v>
      </c>
    </row>
    <row r="572" spans="2:6">
      <c r="B572" s="837">
        <v>44939</v>
      </c>
      <c r="C572">
        <v>4.41</v>
      </c>
      <c r="D572">
        <v>4058432</v>
      </c>
      <c r="E572" s="838">
        <v>-53.578899999999997</v>
      </c>
      <c r="F572">
        <f t="shared" si="8"/>
        <v>4.0584319999999998</v>
      </c>
    </row>
    <row r="573" spans="2:6">
      <c r="B573" s="837">
        <v>44938</v>
      </c>
      <c r="C573">
        <v>4.05</v>
      </c>
      <c r="D573">
        <v>2986550</v>
      </c>
      <c r="E573" s="838">
        <v>-57.368400000000001</v>
      </c>
      <c r="F573">
        <f t="shared" si="8"/>
        <v>2.9865499999999998</v>
      </c>
    </row>
    <row r="574" spans="2:6">
      <c r="B574" s="837">
        <v>44937</v>
      </c>
      <c r="C574">
        <v>3.86</v>
      </c>
      <c r="D574">
        <v>2697810</v>
      </c>
      <c r="E574" s="838">
        <v>-59.368400000000001</v>
      </c>
      <c r="F574">
        <f t="shared" si="8"/>
        <v>2.69781</v>
      </c>
    </row>
    <row r="575" spans="2:6">
      <c r="B575" s="837">
        <v>44936</v>
      </c>
      <c r="C575">
        <v>3.81</v>
      </c>
      <c r="D575">
        <v>2284539</v>
      </c>
      <c r="E575" s="838">
        <v>-59.8947</v>
      </c>
      <c r="F575">
        <f t="shared" si="8"/>
        <v>2.2845390000000001</v>
      </c>
    </row>
    <row r="576" spans="2:6">
      <c r="B576" s="837">
        <v>44935</v>
      </c>
      <c r="C576">
        <v>3.81</v>
      </c>
      <c r="D576">
        <v>3357765</v>
      </c>
      <c r="E576" s="838">
        <v>-59.8947</v>
      </c>
      <c r="F576">
        <f t="shared" si="8"/>
        <v>3.3577650000000001</v>
      </c>
    </row>
    <row r="577" spans="2:6">
      <c r="B577" s="837">
        <v>44932</v>
      </c>
      <c r="C577">
        <v>3.77</v>
      </c>
      <c r="D577">
        <v>1728794</v>
      </c>
      <c r="E577" s="838">
        <v>-60.315800000000003</v>
      </c>
      <c r="F577">
        <f t="shared" si="8"/>
        <v>1.7287939999999999</v>
      </c>
    </row>
    <row r="578" spans="2:6">
      <c r="B578" s="837">
        <v>44931</v>
      </c>
      <c r="C578">
        <v>3.64</v>
      </c>
      <c r="D578">
        <v>1883488</v>
      </c>
      <c r="E578" s="838">
        <v>-61.684199999999997</v>
      </c>
      <c r="F578">
        <f t="shared" si="8"/>
        <v>1.8834880000000001</v>
      </c>
    </row>
    <row r="579" spans="2:6">
      <c r="B579" s="837">
        <v>44930</v>
      </c>
      <c r="C579">
        <v>3.61</v>
      </c>
      <c r="D579">
        <v>2001371</v>
      </c>
      <c r="E579" s="838">
        <v>-62</v>
      </c>
      <c r="F579">
        <f t="shared" si="8"/>
        <v>2.0013709999999998</v>
      </c>
    </row>
    <row r="580" spans="2:6">
      <c r="B580" s="837">
        <v>44929</v>
      </c>
      <c r="C580">
        <v>3.46</v>
      </c>
      <c r="D580">
        <v>2736599</v>
      </c>
      <c r="E580" s="838">
        <v>-63.578899999999997</v>
      </c>
      <c r="F580">
        <f t="shared" si="8"/>
        <v>2.736599</v>
      </c>
    </row>
    <row r="581" spans="2:6">
      <c r="B581" s="837">
        <v>44925</v>
      </c>
      <c r="C581">
        <v>3.45</v>
      </c>
      <c r="D581">
        <v>2348555</v>
      </c>
      <c r="E581" s="838">
        <v>-63.684199999999997</v>
      </c>
      <c r="F581">
        <f t="shared" si="8"/>
        <v>2.3485550000000002</v>
      </c>
    </row>
    <row r="582" spans="2:6">
      <c r="B582" s="837">
        <v>44924</v>
      </c>
      <c r="C582">
        <v>3.54</v>
      </c>
      <c r="D582">
        <v>4854413</v>
      </c>
      <c r="E582" s="838">
        <v>-62.736800000000002</v>
      </c>
      <c r="F582">
        <f t="shared" ref="F582:F645" si="9">D582/1000000</f>
        <v>4.8544130000000001</v>
      </c>
    </row>
    <row r="583" spans="2:6">
      <c r="B583" s="837">
        <v>44923</v>
      </c>
      <c r="C583">
        <v>3.12</v>
      </c>
      <c r="D583">
        <v>3397599</v>
      </c>
      <c r="E583" s="838">
        <v>-67.157899999999998</v>
      </c>
      <c r="F583">
        <f t="shared" si="9"/>
        <v>3.397599</v>
      </c>
    </row>
    <row r="584" spans="2:6">
      <c r="B584" s="837">
        <v>44922</v>
      </c>
      <c r="C584">
        <v>3.1</v>
      </c>
      <c r="D584">
        <v>4232526</v>
      </c>
      <c r="E584" s="838">
        <v>-67.368399999999994</v>
      </c>
      <c r="F584">
        <f t="shared" si="9"/>
        <v>4.232526</v>
      </c>
    </row>
    <row r="585" spans="2:6">
      <c r="B585" s="837">
        <v>44918</v>
      </c>
      <c r="C585">
        <v>3.3</v>
      </c>
      <c r="D585">
        <v>4519150</v>
      </c>
      <c r="E585" s="838">
        <v>-65.263199999999998</v>
      </c>
      <c r="F585">
        <f t="shared" si="9"/>
        <v>4.5191499999999998</v>
      </c>
    </row>
    <row r="586" spans="2:6">
      <c r="B586" s="837">
        <v>44917</v>
      </c>
      <c r="C586">
        <v>3.37</v>
      </c>
      <c r="D586">
        <v>5613301</v>
      </c>
      <c r="E586" s="838">
        <v>-64.526300000000006</v>
      </c>
      <c r="F586">
        <f t="shared" si="9"/>
        <v>5.6133009999999999</v>
      </c>
    </row>
    <row r="587" spans="2:6">
      <c r="B587" s="837">
        <v>44916</v>
      </c>
      <c r="C587">
        <v>3.69</v>
      </c>
      <c r="D587">
        <v>2052675</v>
      </c>
      <c r="E587" s="838">
        <v>-61.157899999999998</v>
      </c>
      <c r="F587">
        <f t="shared" si="9"/>
        <v>2.0526749999999998</v>
      </c>
    </row>
    <row r="588" spans="2:6">
      <c r="B588" s="837">
        <v>44915</v>
      </c>
      <c r="C588">
        <v>3.71</v>
      </c>
      <c r="D588">
        <v>2835699</v>
      </c>
      <c r="E588" s="838">
        <v>-60.947400000000002</v>
      </c>
      <c r="F588">
        <f t="shared" si="9"/>
        <v>2.835699</v>
      </c>
    </row>
    <row r="589" spans="2:6">
      <c r="B589" s="837">
        <v>44914</v>
      </c>
      <c r="C589">
        <v>3.7</v>
      </c>
      <c r="D589">
        <v>3165986</v>
      </c>
      <c r="E589" s="838">
        <v>-61.052599999999998</v>
      </c>
      <c r="F589">
        <f t="shared" si="9"/>
        <v>3.1659860000000002</v>
      </c>
    </row>
    <row r="590" spans="2:6">
      <c r="B590" s="837">
        <v>44911</v>
      </c>
      <c r="C590">
        <v>3.86</v>
      </c>
      <c r="D590">
        <v>4233004</v>
      </c>
      <c r="E590" s="838">
        <v>-59.368400000000001</v>
      </c>
      <c r="F590">
        <f t="shared" si="9"/>
        <v>4.2330040000000002</v>
      </c>
    </row>
    <row r="591" spans="2:6">
      <c r="B591" s="837">
        <v>44910</v>
      </c>
      <c r="C591">
        <v>3.91</v>
      </c>
      <c r="D591">
        <v>5466674</v>
      </c>
      <c r="E591" s="838">
        <v>-58.842100000000002</v>
      </c>
      <c r="F591">
        <f t="shared" si="9"/>
        <v>5.4666740000000003</v>
      </c>
    </row>
    <row r="592" spans="2:6">
      <c r="B592" s="837">
        <v>44909</v>
      </c>
      <c r="C592">
        <v>4.2300000000000004</v>
      </c>
      <c r="D592">
        <v>3240571</v>
      </c>
      <c r="E592" s="838">
        <v>-55.473700000000001</v>
      </c>
      <c r="F592">
        <f t="shared" si="9"/>
        <v>3.2405710000000001</v>
      </c>
    </row>
    <row r="593" spans="2:6">
      <c r="B593" s="837">
        <v>44908</v>
      </c>
      <c r="C593">
        <v>4.32</v>
      </c>
      <c r="D593">
        <v>3858833</v>
      </c>
      <c r="E593" s="838">
        <v>-54.526299999999999</v>
      </c>
      <c r="F593">
        <f t="shared" si="9"/>
        <v>3.8588330000000002</v>
      </c>
    </row>
    <row r="594" spans="2:6">
      <c r="B594" s="837">
        <v>44907</v>
      </c>
      <c r="C594">
        <v>4.47</v>
      </c>
      <c r="D594">
        <v>2150339</v>
      </c>
      <c r="E594" s="838">
        <v>-52.947400000000002</v>
      </c>
      <c r="F594">
        <f t="shared" si="9"/>
        <v>2.1503389999999998</v>
      </c>
    </row>
    <row r="595" spans="2:6">
      <c r="B595" s="837">
        <v>44904</v>
      </c>
      <c r="C595">
        <v>4.4800000000000004</v>
      </c>
      <c r="D595">
        <v>1617764</v>
      </c>
      <c r="E595" s="838">
        <v>-52.842100000000002</v>
      </c>
      <c r="F595">
        <f t="shared" si="9"/>
        <v>1.617764</v>
      </c>
    </row>
    <row r="596" spans="2:6">
      <c r="B596" s="837">
        <v>44903</v>
      </c>
      <c r="C596">
        <v>4.62</v>
      </c>
      <c r="D596">
        <v>2050843</v>
      </c>
      <c r="E596" s="838">
        <v>-51.368400000000001</v>
      </c>
      <c r="F596">
        <f t="shared" si="9"/>
        <v>2.050843</v>
      </c>
    </row>
    <row r="597" spans="2:6">
      <c r="B597" s="837">
        <v>44902</v>
      </c>
      <c r="C597">
        <v>4.3499999999999996</v>
      </c>
      <c r="D597">
        <v>2317349</v>
      </c>
      <c r="E597" s="838">
        <v>-54.210500000000003</v>
      </c>
      <c r="F597">
        <f t="shared" si="9"/>
        <v>2.3173490000000001</v>
      </c>
    </row>
    <row r="598" spans="2:6">
      <c r="B598" s="837">
        <v>44901</v>
      </c>
      <c r="C598">
        <v>4.3499999999999996</v>
      </c>
      <c r="D598">
        <v>3876835</v>
      </c>
      <c r="E598" s="838">
        <v>-54.210500000000003</v>
      </c>
      <c r="F598">
        <f t="shared" si="9"/>
        <v>3.8768349999999998</v>
      </c>
    </row>
    <row r="599" spans="2:6">
      <c r="B599" s="837">
        <v>44900</v>
      </c>
      <c r="C599">
        <v>4.6500000000000004</v>
      </c>
      <c r="D599">
        <v>3261305</v>
      </c>
      <c r="E599" s="838">
        <v>-51.052599999999998</v>
      </c>
      <c r="F599">
        <f t="shared" si="9"/>
        <v>3.2613050000000001</v>
      </c>
    </row>
    <row r="600" spans="2:6">
      <c r="B600" s="837">
        <v>44897</v>
      </c>
      <c r="C600">
        <v>4.9400000000000004</v>
      </c>
      <c r="D600">
        <v>2881701</v>
      </c>
      <c r="E600" s="838">
        <v>-48</v>
      </c>
      <c r="F600">
        <f t="shared" si="9"/>
        <v>2.8817010000000001</v>
      </c>
    </row>
    <row r="601" spans="2:6">
      <c r="B601" s="837">
        <v>44896</v>
      </c>
      <c r="C601">
        <v>4.96</v>
      </c>
      <c r="D601">
        <v>2318791</v>
      </c>
      <c r="E601" s="838">
        <v>-47.789499999999997</v>
      </c>
      <c r="F601">
        <f t="shared" si="9"/>
        <v>2.318791</v>
      </c>
    </row>
    <row r="602" spans="2:6">
      <c r="B602" s="837">
        <v>44895</v>
      </c>
      <c r="C602">
        <v>5.16</v>
      </c>
      <c r="D602">
        <v>3408561</v>
      </c>
      <c r="E602" s="838">
        <v>-45.684199999999997</v>
      </c>
      <c r="F602">
        <f t="shared" si="9"/>
        <v>3.4085610000000002</v>
      </c>
    </row>
    <row r="603" spans="2:6">
      <c r="B603" s="837">
        <v>44894</v>
      </c>
      <c r="C603">
        <v>4.83</v>
      </c>
      <c r="D603">
        <v>1631528</v>
      </c>
      <c r="E603" s="838">
        <v>-49.157899999999998</v>
      </c>
      <c r="F603">
        <f t="shared" si="9"/>
        <v>1.6315280000000001</v>
      </c>
    </row>
    <row r="604" spans="2:6">
      <c r="B604" s="837">
        <v>44893</v>
      </c>
      <c r="C604">
        <v>4.9400000000000004</v>
      </c>
      <c r="D604">
        <v>2000087</v>
      </c>
      <c r="E604" s="838">
        <v>-48</v>
      </c>
      <c r="F604">
        <f t="shared" si="9"/>
        <v>2.0000870000000002</v>
      </c>
    </row>
    <row r="605" spans="2:6">
      <c r="B605" s="837">
        <v>44890</v>
      </c>
      <c r="C605">
        <v>4.91</v>
      </c>
      <c r="D605">
        <v>756678</v>
      </c>
      <c r="E605" s="838">
        <v>-48.315800000000003</v>
      </c>
      <c r="F605">
        <f t="shared" si="9"/>
        <v>0.75667799999999996</v>
      </c>
    </row>
    <row r="606" spans="2:6">
      <c r="B606" s="837">
        <v>44888</v>
      </c>
      <c r="C606">
        <v>4.9800000000000004</v>
      </c>
      <c r="D606">
        <v>2242153</v>
      </c>
      <c r="E606" s="838">
        <v>-47.578899999999997</v>
      </c>
      <c r="F606">
        <f t="shared" si="9"/>
        <v>2.2421530000000001</v>
      </c>
    </row>
    <row r="607" spans="2:6">
      <c r="B607" s="837">
        <v>44887</v>
      </c>
      <c r="C607">
        <v>4.8499999999999996</v>
      </c>
      <c r="D607">
        <v>1689318</v>
      </c>
      <c r="E607" s="838">
        <v>-48.947400000000002</v>
      </c>
      <c r="F607">
        <f t="shared" si="9"/>
        <v>1.6893180000000001</v>
      </c>
    </row>
    <row r="608" spans="2:6">
      <c r="B608" s="837">
        <v>44886</v>
      </c>
      <c r="C608">
        <v>4.8</v>
      </c>
      <c r="D608">
        <v>2345629</v>
      </c>
      <c r="E608" s="838">
        <v>-49.473700000000001</v>
      </c>
      <c r="F608">
        <f t="shared" si="9"/>
        <v>2.3456290000000002</v>
      </c>
    </row>
    <row r="609" spans="2:6">
      <c r="B609" s="837">
        <v>44883</v>
      </c>
      <c r="C609">
        <v>4.92</v>
      </c>
      <c r="D609">
        <v>3034545</v>
      </c>
      <c r="E609" s="838">
        <v>-48.210500000000003</v>
      </c>
      <c r="F609">
        <f t="shared" si="9"/>
        <v>3.034545</v>
      </c>
    </row>
    <row r="610" spans="2:6">
      <c r="B610" s="837">
        <v>44882</v>
      </c>
      <c r="C610">
        <v>4.91</v>
      </c>
      <c r="D610">
        <v>5582472</v>
      </c>
      <c r="E610" s="838">
        <v>-48.315800000000003</v>
      </c>
      <c r="F610">
        <f t="shared" si="9"/>
        <v>5.5824720000000001</v>
      </c>
    </row>
    <row r="611" spans="2:6">
      <c r="B611" s="837">
        <v>44881</v>
      </c>
      <c r="C611">
        <v>5.25</v>
      </c>
      <c r="D611">
        <v>2695799</v>
      </c>
      <c r="E611" s="838">
        <v>-44.736800000000002</v>
      </c>
      <c r="F611">
        <f t="shared" si="9"/>
        <v>2.6957990000000001</v>
      </c>
    </row>
    <row r="612" spans="2:6">
      <c r="B612" s="837">
        <v>44880</v>
      </c>
      <c r="C612">
        <v>5.65</v>
      </c>
      <c r="D612">
        <v>6816862</v>
      </c>
      <c r="E612" s="838">
        <v>-40.526299999999999</v>
      </c>
      <c r="F612">
        <f t="shared" si="9"/>
        <v>6.8168620000000004</v>
      </c>
    </row>
    <row r="613" spans="2:6">
      <c r="B613" s="837">
        <v>44879</v>
      </c>
      <c r="C613">
        <v>5.99</v>
      </c>
      <c r="D613">
        <v>3905078</v>
      </c>
      <c r="E613" s="838">
        <v>-36.947400000000002</v>
      </c>
      <c r="F613">
        <f t="shared" si="9"/>
        <v>3.905078</v>
      </c>
    </row>
    <row r="614" spans="2:6">
      <c r="B614" s="837">
        <v>44876</v>
      </c>
      <c r="C614">
        <v>5.83</v>
      </c>
      <c r="D614">
        <v>3027427</v>
      </c>
      <c r="E614" s="838">
        <v>-38.631599999999999</v>
      </c>
      <c r="F614">
        <f t="shared" si="9"/>
        <v>3.0274269999999999</v>
      </c>
    </row>
    <row r="615" spans="2:6">
      <c r="B615" s="837">
        <v>44875</v>
      </c>
      <c r="C615">
        <v>5.56</v>
      </c>
      <c r="D615">
        <v>4050761</v>
      </c>
      <c r="E615" s="838">
        <v>-41.473700000000001</v>
      </c>
      <c r="F615">
        <f t="shared" si="9"/>
        <v>4.0507609999999996</v>
      </c>
    </row>
    <row r="616" spans="2:6">
      <c r="B616" s="837">
        <v>44874</v>
      </c>
      <c r="C616">
        <v>4.6100000000000003</v>
      </c>
      <c r="D616">
        <v>3297939</v>
      </c>
      <c r="E616" s="838">
        <v>-51.473700000000001</v>
      </c>
      <c r="F616">
        <f t="shared" si="9"/>
        <v>3.297939</v>
      </c>
    </row>
    <row r="617" spans="2:6">
      <c r="B617" s="837">
        <v>44873</v>
      </c>
      <c r="C617">
        <v>4.96</v>
      </c>
      <c r="D617">
        <v>3762099</v>
      </c>
      <c r="E617" s="838">
        <v>-47.789499999999997</v>
      </c>
      <c r="F617">
        <f t="shared" si="9"/>
        <v>3.7620990000000001</v>
      </c>
    </row>
    <row r="618" spans="2:6">
      <c r="B618" s="837">
        <v>44872</v>
      </c>
      <c r="C618">
        <v>5.27</v>
      </c>
      <c r="D618">
        <v>1461417</v>
      </c>
      <c r="E618" s="838">
        <v>-44.526299999999999</v>
      </c>
      <c r="F618">
        <f t="shared" si="9"/>
        <v>1.461417</v>
      </c>
    </row>
    <row r="619" spans="2:6">
      <c r="B619" s="837">
        <v>44869</v>
      </c>
      <c r="C619">
        <v>5.16</v>
      </c>
      <c r="D619">
        <v>2237728</v>
      </c>
      <c r="E619" s="838">
        <v>-45.684199999999997</v>
      </c>
      <c r="F619">
        <f t="shared" si="9"/>
        <v>2.2377280000000002</v>
      </c>
    </row>
    <row r="620" spans="2:6">
      <c r="B620" s="837">
        <v>44868</v>
      </c>
      <c r="C620">
        <v>5.16</v>
      </c>
      <c r="D620">
        <v>1658283</v>
      </c>
      <c r="E620" s="838">
        <v>-45.684199999999997</v>
      </c>
      <c r="F620">
        <f t="shared" si="9"/>
        <v>1.658283</v>
      </c>
    </row>
    <row r="621" spans="2:6">
      <c r="B621" s="837">
        <v>44867</v>
      </c>
      <c r="C621">
        <v>5.33</v>
      </c>
      <c r="D621">
        <v>1868294</v>
      </c>
      <c r="E621" s="838">
        <v>-43.8947</v>
      </c>
      <c r="F621">
        <f t="shared" si="9"/>
        <v>1.8682939999999999</v>
      </c>
    </row>
    <row r="622" spans="2:6">
      <c r="B622" s="837">
        <v>44866</v>
      </c>
      <c r="C622">
        <v>5.61</v>
      </c>
      <c r="D622">
        <v>2143391</v>
      </c>
      <c r="E622" s="838">
        <v>-40.947400000000002</v>
      </c>
      <c r="F622">
        <f t="shared" si="9"/>
        <v>2.1433909999999998</v>
      </c>
    </row>
    <row r="623" spans="2:6">
      <c r="B623" s="837">
        <v>44865</v>
      </c>
      <c r="C623">
        <v>5.89</v>
      </c>
      <c r="D623">
        <v>2493970</v>
      </c>
      <c r="E623" s="838">
        <v>-38</v>
      </c>
      <c r="F623">
        <f t="shared" si="9"/>
        <v>2.49397</v>
      </c>
    </row>
    <row r="624" spans="2:6">
      <c r="B624" s="837">
        <v>44862</v>
      </c>
      <c r="C624">
        <v>5.69</v>
      </c>
      <c r="D624">
        <v>1878435</v>
      </c>
      <c r="E624" s="838">
        <v>-40.1053</v>
      </c>
      <c r="F624">
        <f t="shared" si="9"/>
        <v>1.8784350000000001</v>
      </c>
    </row>
    <row r="625" spans="2:6">
      <c r="B625" s="837">
        <v>44861</v>
      </c>
      <c r="C625">
        <v>5.47</v>
      </c>
      <c r="D625">
        <v>2447536</v>
      </c>
      <c r="E625" s="838">
        <v>-42.421100000000003</v>
      </c>
      <c r="F625">
        <f t="shared" si="9"/>
        <v>2.4475359999999999</v>
      </c>
    </row>
    <row r="626" spans="2:6">
      <c r="B626" s="837">
        <v>44860</v>
      </c>
      <c r="C626">
        <v>5.53</v>
      </c>
      <c r="D626">
        <v>2851750</v>
      </c>
      <c r="E626" s="838">
        <v>-41.789499999999997</v>
      </c>
      <c r="F626">
        <f t="shared" si="9"/>
        <v>2.85175</v>
      </c>
    </row>
    <row r="627" spans="2:6">
      <c r="B627" s="837">
        <v>44859</v>
      </c>
      <c r="C627">
        <v>5.4</v>
      </c>
      <c r="D627">
        <v>2707233</v>
      </c>
      <c r="E627" s="838">
        <v>-43.157899999999998</v>
      </c>
      <c r="F627">
        <f t="shared" si="9"/>
        <v>2.707233</v>
      </c>
    </row>
    <row r="628" spans="2:6">
      <c r="B628" s="837">
        <v>44858</v>
      </c>
      <c r="C628">
        <v>5.0599999999999996</v>
      </c>
      <c r="D628">
        <v>1746525</v>
      </c>
      <c r="E628" s="838">
        <v>-46.736800000000002</v>
      </c>
      <c r="F628">
        <f t="shared" si="9"/>
        <v>1.7465250000000001</v>
      </c>
    </row>
    <row r="629" spans="2:6">
      <c r="B629" s="837">
        <v>44855</v>
      </c>
      <c r="C629">
        <v>5.13</v>
      </c>
      <c r="D629">
        <v>1309774</v>
      </c>
      <c r="E629" s="838">
        <v>-46</v>
      </c>
      <c r="F629">
        <f t="shared" si="9"/>
        <v>1.309774</v>
      </c>
    </row>
    <row r="630" spans="2:6">
      <c r="B630" s="837">
        <v>44854</v>
      </c>
      <c r="C630">
        <v>5.07</v>
      </c>
      <c r="D630">
        <v>1771198</v>
      </c>
      <c r="E630" s="838">
        <v>-46.631599999999999</v>
      </c>
      <c r="F630">
        <f t="shared" si="9"/>
        <v>1.7711980000000001</v>
      </c>
    </row>
    <row r="631" spans="2:6">
      <c r="B631" s="837">
        <v>44853</v>
      </c>
      <c r="C631">
        <v>5.01</v>
      </c>
      <c r="D631">
        <v>1571542</v>
      </c>
      <c r="E631" s="838">
        <v>-47.263199999999998</v>
      </c>
      <c r="F631">
        <f t="shared" si="9"/>
        <v>1.571542</v>
      </c>
    </row>
    <row r="632" spans="2:6">
      <c r="B632" s="837">
        <v>44852</v>
      </c>
      <c r="C632">
        <v>5.08</v>
      </c>
      <c r="D632">
        <v>1966453</v>
      </c>
      <c r="E632" s="838">
        <v>-46.526299999999999</v>
      </c>
      <c r="F632">
        <f t="shared" si="9"/>
        <v>1.966453</v>
      </c>
    </row>
    <row r="633" spans="2:6">
      <c r="B633" s="837">
        <v>44851</v>
      </c>
      <c r="C633">
        <v>5.14</v>
      </c>
      <c r="D633">
        <v>1911636</v>
      </c>
      <c r="E633" s="838">
        <v>-45.8947</v>
      </c>
      <c r="F633">
        <f t="shared" si="9"/>
        <v>1.9116359999999999</v>
      </c>
    </row>
    <row r="634" spans="2:6">
      <c r="B634" s="837">
        <v>44848</v>
      </c>
      <c r="C634">
        <v>4.87</v>
      </c>
      <c r="D634">
        <v>1725794</v>
      </c>
      <c r="E634" s="838">
        <v>-48.736800000000002</v>
      </c>
      <c r="F634">
        <f t="shared" si="9"/>
        <v>1.7257940000000001</v>
      </c>
    </row>
    <row r="635" spans="2:6">
      <c r="B635" s="837">
        <v>44847</v>
      </c>
      <c r="C635">
        <v>5.18</v>
      </c>
      <c r="D635">
        <v>2844452</v>
      </c>
      <c r="E635" s="838">
        <v>-45.473700000000001</v>
      </c>
      <c r="F635">
        <f t="shared" si="9"/>
        <v>2.844452</v>
      </c>
    </row>
    <row r="636" spans="2:6">
      <c r="B636" s="837">
        <v>44846</v>
      </c>
      <c r="C636">
        <v>5.05</v>
      </c>
      <c r="D636">
        <v>1882926</v>
      </c>
      <c r="E636" s="838">
        <v>-46.842100000000002</v>
      </c>
      <c r="F636">
        <f t="shared" si="9"/>
        <v>1.8829260000000001</v>
      </c>
    </row>
    <row r="637" spans="2:6">
      <c r="B637" s="837">
        <v>44845</v>
      </c>
      <c r="C637">
        <v>4.8899999999999997</v>
      </c>
      <c r="D637">
        <v>2791889</v>
      </c>
      <c r="E637" s="838">
        <v>-48.526299999999999</v>
      </c>
      <c r="F637">
        <f t="shared" si="9"/>
        <v>2.7918889999999998</v>
      </c>
    </row>
    <row r="638" spans="2:6">
      <c r="B638" s="837">
        <v>44844</v>
      </c>
      <c r="C638">
        <v>5.07</v>
      </c>
      <c r="D638">
        <v>2163192</v>
      </c>
      <c r="E638" s="838">
        <v>-46.631599999999999</v>
      </c>
      <c r="F638">
        <f t="shared" si="9"/>
        <v>2.163192</v>
      </c>
    </row>
    <row r="639" spans="2:6">
      <c r="B639" s="837">
        <v>44841</v>
      </c>
      <c r="C639">
        <v>5.28</v>
      </c>
      <c r="D639">
        <v>2564319</v>
      </c>
      <c r="E639" s="838">
        <v>-44.421100000000003</v>
      </c>
      <c r="F639">
        <f t="shared" si="9"/>
        <v>2.5643189999999998</v>
      </c>
    </row>
    <row r="640" spans="2:6">
      <c r="B640" s="837">
        <v>44840</v>
      </c>
      <c r="C640">
        <v>5.64</v>
      </c>
      <c r="D640">
        <v>1822354</v>
      </c>
      <c r="E640" s="838">
        <v>-40.631599999999999</v>
      </c>
      <c r="F640">
        <f t="shared" si="9"/>
        <v>1.822354</v>
      </c>
    </row>
    <row r="641" spans="2:6">
      <c r="B641" s="837">
        <v>44839</v>
      </c>
      <c r="C641">
        <v>5.71</v>
      </c>
      <c r="D641">
        <v>2577573</v>
      </c>
      <c r="E641" s="838">
        <v>-39.8947</v>
      </c>
      <c r="F641">
        <f t="shared" si="9"/>
        <v>2.5775730000000001</v>
      </c>
    </row>
    <row r="642" spans="2:6">
      <c r="B642" s="837">
        <v>44838</v>
      </c>
      <c r="C642">
        <v>5.88</v>
      </c>
      <c r="D642">
        <v>4339545</v>
      </c>
      <c r="E642" s="838">
        <v>-38.1053</v>
      </c>
      <c r="F642">
        <f t="shared" si="9"/>
        <v>4.3395450000000002</v>
      </c>
    </row>
    <row r="643" spans="2:6">
      <c r="B643" s="837">
        <v>44837</v>
      </c>
      <c r="C643">
        <v>5.26</v>
      </c>
      <c r="D643">
        <v>2732074</v>
      </c>
      <c r="E643" s="838">
        <v>-44.631599999999999</v>
      </c>
      <c r="F643">
        <f t="shared" si="9"/>
        <v>2.7320739999999999</v>
      </c>
    </row>
    <row r="644" spans="2:6">
      <c r="B644" s="837">
        <v>44834</v>
      </c>
      <c r="C644">
        <v>5.07</v>
      </c>
      <c r="D644">
        <v>8108887</v>
      </c>
      <c r="E644" s="838">
        <v>-46.631599999999999</v>
      </c>
      <c r="F644">
        <f t="shared" si="9"/>
        <v>8.1088869999999993</v>
      </c>
    </row>
    <row r="645" spans="2:6">
      <c r="B645" s="837">
        <v>44833</v>
      </c>
      <c r="C645">
        <v>4.78</v>
      </c>
      <c r="D645">
        <v>1665891</v>
      </c>
      <c r="E645" s="838">
        <v>-49.684199999999997</v>
      </c>
      <c r="F645">
        <f t="shared" si="9"/>
        <v>1.665891</v>
      </c>
    </row>
    <row r="646" spans="2:6">
      <c r="B646" s="837">
        <v>44832</v>
      </c>
      <c r="C646">
        <v>5.07</v>
      </c>
      <c r="D646">
        <v>1598680</v>
      </c>
      <c r="E646" s="838">
        <v>-46.631599999999999</v>
      </c>
      <c r="F646">
        <f t="shared" ref="F646:F709" si="10">D646/1000000</f>
        <v>1.5986800000000001</v>
      </c>
    </row>
    <row r="647" spans="2:6">
      <c r="B647" s="837">
        <v>44831</v>
      </c>
      <c r="C647">
        <v>4.84</v>
      </c>
      <c r="D647">
        <v>1459871</v>
      </c>
      <c r="E647" s="838">
        <v>-49.052599999999998</v>
      </c>
      <c r="F647">
        <f t="shared" si="10"/>
        <v>1.4598709999999999</v>
      </c>
    </row>
    <row r="648" spans="2:6">
      <c r="B648" s="837">
        <v>44830</v>
      </c>
      <c r="C648">
        <v>4.79</v>
      </c>
      <c r="D648">
        <v>1960884</v>
      </c>
      <c r="E648" s="838">
        <v>-49.578899999999997</v>
      </c>
      <c r="F648">
        <f t="shared" si="10"/>
        <v>1.9608840000000001</v>
      </c>
    </row>
    <row r="649" spans="2:6">
      <c r="B649" s="837">
        <v>44827</v>
      </c>
      <c r="C649">
        <v>4.7699999999999996</v>
      </c>
      <c r="D649">
        <v>2464126</v>
      </c>
      <c r="E649" s="838">
        <v>-49.789499999999997</v>
      </c>
      <c r="F649">
        <f t="shared" si="10"/>
        <v>2.4641259999999998</v>
      </c>
    </row>
    <row r="650" spans="2:6">
      <c r="B650" s="837">
        <v>44826</v>
      </c>
      <c r="C650">
        <v>4.97</v>
      </c>
      <c r="D650">
        <v>2814971</v>
      </c>
      <c r="E650" s="838">
        <v>-47.684199999999997</v>
      </c>
      <c r="F650">
        <f t="shared" si="10"/>
        <v>2.8149709999999999</v>
      </c>
    </row>
    <row r="651" spans="2:6">
      <c r="B651" s="837">
        <v>44825</v>
      </c>
      <c r="C651">
        <v>5.2</v>
      </c>
      <c r="D651">
        <v>1994192</v>
      </c>
      <c r="E651" s="838">
        <v>-45.263199999999998</v>
      </c>
      <c r="F651">
        <f t="shared" si="10"/>
        <v>1.994192</v>
      </c>
    </row>
    <row r="652" spans="2:6">
      <c r="B652" s="837">
        <v>44824</v>
      </c>
      <c r="C652">
        <v>5.27</v>
      </c>
      <c r="D652">
        <v>1587358</v>
      </c>
      <c r="E652" s="838">
        <v>-44.526299999999999</v>
      </c>
      <c r="F652">
        <f t="shared" si="10"/>
        <v>1.587358</v>
      </c>
    </row>
    <row r="653" spans="2:6">
      <c r="B653" s="837">
        <v>44823</v>
      </c>
      <c r="C653">
        <v>5.39</v>
      </c>
      <c r="D653">
        <v>1897209</v>
      </c>
      <c r="E653" s="838">
        <v>-43.263199999999998</v>
      </c>
      <c r="F653">
        <f t="shared" si="10"/>
        <v>1.8972089999999999</v>
      </c>
    </row>
    <row r="654" spans="2:6">
      <c r="B654" s="837">
        <v>44820</v>
      </c>
      <c r="C654">
        <v>5.49</v>
      </c>
      <c r="D654">
        <v>4046532</v>
      </c>
      <c r="E654" s="838">
        <v>-42.210500000000003</v>
      </c>
      <c r="F654">
        <f t="shared" si="10"/>
        <v>4.046532</v>
      </c>
    </row>
    <row r="655" spans="2:6">
      <c r="B655" s="837">
        <v>44819</v>
      </c>
      <c r="C655">
        <v>5.76</v>
      </c>
      <c r="D655">
        <v>2272824</v>
      </c>
      <c r="E655" s="838">
        <v>-39.368400000000001</v>
      </c>
      <c r="F655">
        <f t="shared" si="10"/>
        <v>2.272824</v>
      </c>
    </row>
    <row r="656" spans="2:6">
      <c r="B656" s="837">
        <v>44818</v>
      </c>
      <c r="C656">
        <v>5.79</v>
      </c>
      <c r="D656">
        <v>2474731</v>
      </c>
      <c r="E656" s="838">
        <v>-39.052599999999998</v>
      </c>
      <c r="F656">
        <f t="shared" si="10"/>
        <v>2.4747309999999998</v>
      </c>
    </row>
    <row r="657" spans="2:6">
      <c r="B657" s="837">
        <v>44817</v>
      </c>
      <c r="C657">
        <v>5.59</v>
      </c>
      <c r="D657">
        <v>2841407</v>
      </c>
      <c r="E657" s="838">
        <v>-41.157899999999998</v>
      </c>
      <c r="F657">
        <f t="shared" si="10"/>
        <v>2.8414069999999998</v>
      </c>
    </row>
    <row r="658" spans="2:6">
      <c r="B658" s="837">
        <v>44816</v>
      </c>
      <c r="C658">
        <v>5.92</v>
      </c>
      <c r="D658">
        <v>3295372</v>
      </c>
      <c r="E658" s="838">
        <v>-37.684199999999997</v>
      </c>
      <c r="F658">
        <f t="shared" si="10"/>
        <v>3.295372</v>
      </c>
    </row>
    <row r="659" spans="2:6">
      <c r="B659" s="837">
        <v>44813</v>
      </c>
      <c r="C659">
        <v>5.39</v>
      </c>
      <c r="D659">
        <v>3021357</v>
      </c>
      <c r="E659" s="838">
        <v>-43.263199999999998</v>
      </c>
      <c r="F659">
        <f t="shared" si="10"/>
        <v>3.0213570000000001</v>
      </c>
    </row>
    <row r="660" spans="2:6">
      <c r="B660" s="837">
        <v>44812</v>
      </c>
      <c r="C660">
        <v>5.24</v>
      </c>
      <c r="D660">
        <v>2949745</v>
      </c>
      <c r="E660" s="838">
        <v>-44.842100000000002</v>
      </c>
      <c r="F660">
        <f t="shared" si="10"/>
        <v>2.9497450000000001</v>
      </c>
    </row>
    <row r="661" spans="2:6">
      <c r="B661" s="837">
        <v>44811</v>
      </c>
      <c r="C661">
        <v>5.3</v>
      </c>
      <c r="D661">
        <v>4189960</v>
      </c>
      <c r="E661" s="838">
        <v>-44.210500000000003</v>
      </c>
      <c r="F661">
        <f t="shared" si="10"/>
        <v>4.1899600000000001</v>
      </c>
    </row>
    <row r="662" spans="2:6">
      <c r="B662" s="837">
        <v>44810</v>
      </c>
      <c r="C662">
        <v>5.63</v>
      </c>
      <c r="D662">
        <v>2140027</v>
      </c>
      <c r="E662" s="838">
        <v>-40.736800000000002</v>
      </c>
      <c r="F662">
        <f t="shared" si="10"/>
        <v>2.1400269999999999</v>
      </c>
    </row>
    <row r="663" spans="2:6">
      <c r="B663" s="837">
        <v>44806</v>
      </c>
      <c r="C663">
        <v>5.7</v>
      </c>
      <c r="D663">
        <v>2116566</v>
      </c>
      <c r="E663" s="838">
        <v>-40</v>
      </c>
      <c r="F663">
        <f t="shared" si="10"/>
        <v>2.1165660000000002</v>
      </c>
    </row>
    <row r="664" spans="2:6">
      <c r="B664" s="837">
        <v>44805</v>
      </c>
      <c r="C664">
        <v>5.79</v>
      </c>
      <c r="D664">
        <v>2442583</v>
      </c>
      <c r="E664" s="838">
        <v>-39.052599999999998</v>
      </c>
      <c r="F664">
        <f t="shared" si="10"/>
        <v>2.4425829999999999</v>
      </c>
    </row>
    <row r="665" spans="2:6">
      <c r="B665" s="837">
        <v>44804</v>
      </c>
      <c r="C665">
        <v>5.94</v>
      </c>
      <c r="D665">
        <v>2732225</v>
      </c>
      <c r="E665" s="838">
        <v>-37.473700000000001</v>
      </c>
      <c r="F665">
        <f t="shared" si="10"/>
        <v>2.7322250000000001</v>
      </c>
    </row>
    <row r="666" spans="2:6">
      <c r="B666" s="837">
        <v>44803</v>
      </c>
      <c r="C666">
        <v>5.88</v>
      </c>
      <c r="D666">
        <v>3319661</v>
      </c>
      <c r="E666" s="838">
        <v>-38.1053</v>
      </c>
      <c r="F666">
        <f t="shared" si="10"/>
        <v>3.319661</v>
      </c>
    </row>
    <row r="667" spans="2:6">
      <c r="B667" s="837">
        <v>44802</v>
      </c>
      <c r="C667">
        <v>6.19</v>
      </c>
      <c r="D667">
        <v>2057605</v>
      </c>
      <c r="E667" s="838">
        <v>-34.842100000000002</v>
      </c>
      <c r="F667">
        <f t="shared" si="10"/>
        <v>2.0576050000000001</v>
      </c>
    </row>
    <row r="668" spans="2:6">
      <c r="B668" s="837">
        <v>44799</v>
      </c>
      <c r="C668">
        <v>6.19</v>
      </c>
      <c r="D668">
        <v>4455680</v>
      </c>
      <c r="E668" s="838">
        <v>-34.842100000000002</v>
      </c>
      <c r="F668">
        <f t="shared" si="10"/>
        <v>4.4556800000000001</v>
      </c>
    </row>
    <row r="669" spans="2:6">
      <c r="B669" s="837">
        <v>44798</v>
      </c>
      <c r="C669">
        <v>6.84</v>
      </c>
      <c r="D669">
        <v>2887891</v>
      </c>
      <c r="E669" s="838">
        <v>-28</v>
      </c>
      <c r="F669">
        <f t="shared" si="10"/>
        <v>2.8878910000000002</v>
      </c>
    </row>
    <row r="670" spans="2:6">
      <c r="B670" s="837">
        <v>44797</v>
      </c>
      <c r="C670">
        <v>6.58</v>
      </c>
      <c r="D670">
        <v>4483886</v>
      </c>
      <c r="E670" s="838">
        <v>-30.736799999999999</v>
      </c>
      <c r="F670">
        <f t="shared" si="10"/>
        <v>4.483886</v>
      </c>
    </row>
    <row r="671" spans="2:6">
      <c r="B671" s="837">
        <v>44796</v>
      </c>
      <c r="C671">
        <v>6.43</v>
      </c>
      <c r="D671">
        <v>2341153</v>
      </c>
      <c r="E671" s="838">
        <v>-32.315800000000003</v>
      </c>
      <c r="F671">
        <f t="shared" si="10"/>
        <v>2.3411529999999998</v>
      </c>
    </row>
    <row r="672" spans="2:6">
      <c r="B672" s="837">
        <v>44795</v>
      </c>
      <c r="C672">
        <v>6.42</v>
      </c>
      <c r="D672">
        <v>3411748</v>
      </c>
      <c r="E672" s="838">
        <v>-32.421100000000003</v>
      </c>
      <c r="F672">
        <f t="shared" si="10"/>
        <v>3.4117479999999998</v>
      </c>
    </row>
    <row r="673" spans="2:6">
      <c r="B673" s="837">
        <v>44792</v>
      </c>
      <c r="C673">
        <v>6.62</v>
      </c>
      <c r="D673">
        <v>5497240</v>
      </c>
      <c r="E673" s="838">
        <v>-30.315799999999999</v>
      </c>
      <c r="F673">
        <f t="shared" si="10"/>
        <v>5.4972399999999997</v>
      </c>
    </row>
    <row r="674" spans="2:6">
      <c r="B674" s="837">
        <v>44791</v>
      </c>
      <c r="C674">
        <v>7.63</v>
      </c>
      <c r="D674">
        <v>5666551</v>
      </c>
      <c r="E674" s="838">
        <v>-19.684200000000001</v>
      </c>
      <c r="F674">
        <f t="shared" si="10"/>
        <v>5.6665510000000001</v>
      </c>
    </row>
    <row r="675" spans="2:6">
      <c r="B675" s="837">
        <v>44790</v>
      </c>
      <c r="C675">
        <v>7.86</v>
      </c>
      <c r="D675">
        <v>6813586</v>
      </c>
      <c r="E675" s="838">
        <v>-17.263200000000001</v>
      </c>
      <c r="F675">
        <f t="shared" si="10"/>
        <v>6.8135859999999999</v>
      </c>
    </row>
    <row r="676" spans="2:6">
      <c r="B676" s="837">
        <v>44789</v>
      </c>
      <c r="C676">
        <v>8.3800000000000008</v>
      </c>
      <c r="D676">
        <v>21325772</v>
      </c>
      <c r="E676" s="838">
        <v>-11.7895</v>
      </c>
      <c r="F676">
        <f t="shared" si="10"/>
        <v>21.325772000000001</v>
      </c>
    </row>
    <row r="677" spans="2:6">
      <c r="B677" s="837">
        <v>44788</v>
      </c>
      <c r="C677">
        <v>6.36</v>
      </c>
      <c r="D677">
        <v>3837680</v>
      </c>
      <c r="E677" s="838">
        <v>-33.052599999999998</v>
      </c>
      <c r="F677">
        <f t="shared" si="10"/>
        <v>3.8376800000000002</v>
      </c>
    </row>
    <row r="678" spans="2:6">
      <c r="B678" s="837">
        <v>44785</v>
      </c>
      <c r="C678">
        <v>6.21</v>
      </c>
      <c r="D678">
        <v>3073510</v>
      </c>
      <c r="E678" s="838">
        <v>-34.631599999999999</v>
      </c>
      <c r="F678">
        <f t="shared" si="10"/>
        <v>3.0735100000000002</v>
      </c>
    </row>
    <row r="679" spans="2:6">
      <c r="B679" s="837">
        <v>44784</v>
      </c>
      <c r="C679">
        <v>6.07</v>
      </c>
      <c r="D679">
        <v>2951989</v>
      </c>
      <c r="E679" s="838">
        <v>-36.1053</v>
      </c>
      <c r="F679">
        <f t="shared" si="10"/>
        <v>2.9519890000000002</v>
      </c>
    </row>
    <row r="680" spans="2:6">
      <c r="B680" s="837">
        <v>44783</v>
      </c>
      <c r="C680">
        <v>6.33</v>
      </c>
      <c r="D680">
        <v>4736053</v>
      </c>
      <c r="E680" s="838">
        <v>-33.368400000000001</v>
      </c>
      <c r="F680">
        <f t="shared" si="10"/>
        <v>4.7360530000000001</v>
      </c>
    </row>
    <row r="681" spans="2:6">
      <c r="B681" s="837">
        <v>44782</v>
      </c>
      <c r="C681">
        <v>5.72</v>
      </c>
      <c r="D681">
        <v>3070399</v>
      </c>
      <c r="E681" s="838">
        <v>-39.789499999999997</v>
      </c>
      <c r="F681">
        <f t="shared" si="10"/>
        <v>3.0703990000000001</v>
      </c>
    </row>
    <row r="682" spans="2:6">
      <c r="B682" s="837">
        <v>44781</v>
      </c>
      <c r="C682">
        <v>6.13</v>
      </c>
      <c r="D682">
        <v>3667419</v>
      </c>
      <c r="E682" s="838">
        <v>-35.473700000000001</v>
      </c>
      <c r="F682">
        <f t="shared" si="10"/>
        <v>3.6674190000000002</v>
      </c>
    </row>
    <row r="683" spans="2:6">
      <c r="B683" s="837">
        <v>44778</v>
      </c>
      <c r="C683">
        <v>6.42</v>
      </c>
      <c r="D683">
        <v>4247848</v>
      </c>
      <c r="E683" s="838">
        <v>-32.421100000000003</v>
      </c>
      <c r="F683">
        <f t="shared" si="10"/>
        <v>4.2478480000000003</v>
      </c>
    </row>
    <row r="684" spans="2:6">
      <c r="B684" s="837">
        <v>44777</v>
      </c>
      <c r="C684">
        <v>6.2</v>
      </c>
      <c r="D684">
        <v>3978162</v>
      </c>
      <c r="E684" s="838">
        <v>-34.736800000000002</v>
      </c>
      <c r="F684">
        <f t="shared" si="10"/>
        <v>3.9781620000000002</v>
      </c>
    </row>
    <row r="685" spans="2:6">
      <c r="B685" s="837">
        <v>44776</v>
      </c>
      <c r="C685">
        <v>5.9</v>
      </c>
      <c r="D685">
        <v>3105201</v>
      </c>
      <c r="E685" s="838">
        <v>-37.8947</v>
      </c>
      <c r="F685">
        <f t="shared" si="10"/>
        <v>3.1052010000000001</v>
      </c>
    </row>
    <row r="686" spans="2:6">
      <c r="B686" s="837">
        <v>44775</v>
      </c>
      <c r="C686">
        <v>5.51</v>
      </c>
      <c r="D686">
        <v>2105250</v>
      </c>
      <c r="E686" s="838">
        <v>-42</v>
      </c>
      <c r="F686">
        <f t="shared" si="10"/>
        <v>2.1052499999999998</v>
      </c>
    </row>
    <row r="687" spans="2:6">
      <c r="B687" s="837">
        <v>44774</v>
      </c>
      <c r="C687">
        <v>5.25</v>
      </c>
      <c r="D687">
        <v>2756158</v>
      </c>
      <c r="E687" s="838">
        <v>-44.736800000000002</v>
      </c>
      <c r="F687">
        <f t="shared" si="10"/>
        <v>2.7561580000000001</v>
      </c>
    </row>
    <row r="688" spans="2:6">
      <c r="B688" s="837">
        <v>44771</v>
      </c>
      <c r="C688">
        <v>5.4</v>
      </c>
      <c r="D688">
        <v>1921274</v>
      </c>
      <c r="E688" s="838">
        <v>-43.157899999999998</v>
      </c>
      <c r="F688">
        <f t="shared" si="10"/>
        <v>1.9212739999999999</v>
      </c>
    </row>
    <row r="689" spans="2:6">
      <c r="B689" s="837">
        <v>44770</v>
      </c>
      <c r="C689">
        <v>5.29</v>
      </c>
      <c r="D689">
        <v>2223090</v>
      </c>
      <c r="E689" s="838">
        <v>-44.315800000000003</v>
      </c>
      <c r="F689">
        <f t="shared" si="10"/>
        <v>2.22309</v>
      </c>
    </row>
    <row r="690" spans="2:6">
      <c r="B690" s="837">
        <v>44769</v>
      </c>
      <c r="C690">
        <v>5.0999999999999996</v>
      </c>
      <c r="D690">
        <v>1607838</v>
      </c>
      <c r="E690" s="838">
        <v>-46.315800000000003</v>
      </c>
      <c r="F690">
        <f t="shared" si="10"/>
        <v>1.6078380000000001</v>
      </c>
    </row>
    <row r="691" spans="2:6">
      <c r="B691" s="837">
        <v>44768</v>
      </c>
      <c r="C691">
        <v>4.72</v>
      </c>
      <c r="D691">
        <v>2001011</v>
      </c>
      <c r="E691" s="838">
        <v>-50.315800000000003</v>
      </c>
      <c r="F691">
        <f t="shared" si="10"/>
        <v>2.0010110000000001</v>
      </c>
    </row>
    <row r="692" spans="2:6">
      <c r="B692" s="837">
        <v>44767</v>
      </c>
      <c r="C692">
        <v>4.9400000000000004</v>
      </c>
      <c r="D692">
        <v>1535210</v>
      </c>
      <c r="E692" s="838">
        <v>-48</v>
      </c>
      <c r="F692">
        <f t="shared" si="10"/>
        <v>1.53521</v>
      </c>
    </row>
    <row r="693" spans="2:6">
      <c r="B693" s="837">
        <v>44764</v>
      </c>
      <c r="C693">
        <v>4.88</v>
      </c>
      <c r="D693">
        <v>2083003</v>
      </c>
      <c r="E693" s="838">
        <v>-48.631599999999999</v>
      </c>
      <c r="F693">
        <f t="shared" si="10"/>
        <v>2.0830030000000002</v>
      </c>
    </row>
    <row r="694" spans="2:6">
      <c r="B694" s="837">
        <v>44763</v>
      </c>
      <c r="C694">
        <v>5.26</v>
      </c>
      <c r="D694">
        <v>2389589</v>
      </c>
      <c r="E694" s="838">
        <v>-44.631599999999999</v>
      </c>
      <c r="F694">
        <f t="shared" si="10"/>
        <v>2.389589</v>
      </c>
    </row>
    <row r="695" spans="2:6">
      <c r="B695" s="837">
        <v>44762</v>
      </c>
      <c r="C695">
        <v>5.12</v>
      </c>
      <c r="D695">
        <v>3309156</v>
      </c>
      <c r="E695" s="838">
        <v>-46.1053</v>
      </c>
      <c r="F695">
        <f t="shared" si="10"/>
        <v>3.3091560000000002</v>
      </c>
    </row>
    <row r="696" spans="2:6">
      <c r="B696" s="837">
        <v>44761</v>
      </c>
      <c r="C696">
        <v>4.7300000000000004</v>
      </c>
      <c r="D696">
        <v>2264909</v>
      </c>
      <c r="E696" s="838">
        <v>-50.210500000000003</v>
      </c>
      <c r="F696">
        <f t="shared" si="10"/>
        <v>2.2649089999999998</v>
      </c>
    </row>
    <row r="697" spans="2:6">
      <c r="B697" s="837">
        <v>44760</v>
      </c>
      <c r="C697">
        <v>4.59</v>
      </c>
      <c r="D697">
        <v>2542068</v>
      </c>
      <c r="E697" s="838">
        <v>-51.684199999999997</v>
      </c>
      <c r="F697">
        <f t="shared" si="10"/>
        <v>2.542068</v>
      </c>
    </row>
    <row r="698" spans="2:6">
      <c r="B698" s="837">
        <v>44757</v>
      </c>
      <c r="C698">
        <v>4.53</v>
      </c>
      <c r="D698">
        <v>1910144</v>
      </c>
      <c r="E698" s="838">
        <v>-52.315800000000003</v>
      </c>
      <c r="F698">
        <f t="shared" si="10"/>
        <v>1.9101440000000001</v>
      </c>
    </row>
    <row r="699" spans="2:6">
      <c r="B699" s="837">
        <v>44756</v>
      </c>
      <c r="C699">
        <v>4.3899999999999997</v>
      </c>
      <c r="D699">
        <v>1965466</v>
      </c>
      <c r="E699" s="838">
        <v>-53.789499999999997</v>
      </c>
      <c r="F699">
        <f t="shared" si="10"/>
        <v>1.9654659999999999</v>
      </c>
    </row>
    <row r="700" spans="2:6">
      <c r="B700" s="837">
        <v>44755</v>
      </c>
      <c r="C700">
        <v>4.43</v>
      </c>
      <c r="D700">
        <v>1950188</v>
      </c>
      <c r="E700" s="838">
        <v>-53.368400000000001</v>
      </c>
      <c r="F700">
        <f t="shared" si="10"/>
        <v>1.950188</v>
      </c>
    </row>
    <row r="701" spans="2:6">
      <c r="B701" s="837">
        <v>44754</v>
      </c>
      <c r="C701">
        <v>4.47</v>
      </c>
      <c r="D701">
        <v>2144905</v>
      </c>
      <c r="E701" s="838">
        <v>-52.947400000000002</v>
      </c>
      <c r="F701">
        <f t="shared" si="10"/>
        <v>2.1449050000000001</v>
      </c>
    </row>
    <row r="702" spans="2:6">
      <c r="B702" s="837">
        <v>44753</v>
      </c>
      <c r="C702">
        <v>4.6100000000000003</v>
      </c>
      <c r="D702">
        <v>2198907</v>
      </c>
      <c r="E702" s="838">
        <v>-51.473700000000001</v>
      </c>
      <c r="F702">
        <f t="shared" si="10"/>
        <v>2.1989070000000002</v>
      </c>
    </row>
    <row r="703" spans="2:6">
      <c r="B703" s="837">
        <v>44750</v>
      </c>
      <c r="C703">
        <v>5.07</v>
      </c>
      <c r="D703">
        <v>2286270</v>
      </c>
      <c r="E703" s="838">
        <v>-46.631599999999999</v>
      </c>
      <c r="F703">
        <f t="shared" si="10"/>
        <v>2.28627</v>
      </c>
    </row>
    <row r="704" spans="2:6">
      <c r="B704" s="837">
        <v>44749</v>
      </c>
      <c r="C704">
        <v>5.05</v>
      </c>
      <c r="D704">
        <v>2772317</v>
      </c>
      <c r="E704" s="838">
        <v>-46.842100000000002</v>
      </c>
      <c r="F704">
        <f t="shared" si="10"/>
        <v>2.7723170000000001</v>
      </c>
    </row>
    <row r="705" spans="2:6">
      <c r="B705" s="837">
        <v>44748</v>
      </c>
      <c r="C705">
        <v>4.6100000000000003</v>
      </c>
      <c r="D705">
        <v>2414038</v>
      </c>
      <c r="E705" s="838">
        <v>-51.473700000000001</v>
      </c>
      <c r="F705">
        <f t="shared" si="10"/>
        <v>2.4140380000000001</v>
      </c>
    </row>
    <row r="706" spans="2:6">
      <c r="B706" s="837">
        <v>44747</v>
      </c>
      <c r="C706">
        <v>4.55</v>
      </c>
      <c r="D706">
        <v>2323193</v>
      </c>
      <c r="E706" s="838">
        <v>-52.1053</v>
      </c>
      <c r="F706">
        <f t="shared" si="10"/>
        <v>2.3231929999999998</v>
      </c>
    </row>
    <row r="707" spans="2:6">
      <c r="B707" s="837">
        <v>44743</v>
      </c>
      <c r="C707">
        <v>4.3899999999999997</v>
      </c>
      <c r="D707">
        <v>2211453</v>
      </c>
      <c r="E707" s="838">
        <v>-53.789499999999997</v>
      </c>
      <c r="F707">
        <f t="shared" si="10"/>
        <v>2.2114530000000001</v>
      </c>
    </row>
    <row r="708" spans="2:6">
      <c r="B708" s="837">
        <v>44742</v>
      </c>
      <c r="C708">
        <v>4.38</v>
      </c>
      <c r="D708">
        <v>3177070</v>
      </c>
      <c r="E708" s="838">
        <v>-53.8947</v>
      </c>
      <c r="F708">
        <f t="shared" si="10"/>
        <v>3.1770700000000001</v>
      </c>
    </row>
    <row r="709" spans="2:6">
      <c r="B709" s="837">
        <v>44741</v>
      </c>
      <c r="C709">
        <v>4.46</v>
      </c>
      <c r="D709">
        <v>3166215</v>
      </c>
      <c r="E709" s="838">
        <v>-53.052599999999998</v>
      </c>
      <c r="F709">
        <f t="shared" si="10"/>
        <v>3.1662149999999998</v>
      </c>
    </row>
    <row r="710" spans="2:6">
      <c r="B710" s="837">
        <v>44740</v>
      </c>
      <c r="C710">
        <v>4.6900000000000004</v>
      </c>
      <c r="D710">
        <v>2884970</v>
      </c>
      <c r="E710" s="838">
        <v>-50.631599999999999</v>
      </c>
      <c r="F710">
        <f t="shared" ref="F710:F771" si="11">D710/1000000</f>
        <v>2.88497</v>
      </c>
    </row>
    <row r="711" spans="2:6">
      <c r="B711" s="837">
        <v>44739</v>
      </c>
      <c r="C711">
        <v>4.83</v>
      </c>
      <c r="D711">
        <v>3395466</v>
      </c>
      <c r="E711" s="838">
        <v>-49.157899999999998</v>
      </c>
      <c r="F711">
        <f t="shared" si="11"/>
        <v>3.3954659999999999</v>
      </c>
    </row>
    <row r="712" spans="2:6">
      <c r="B712" s="837">
        <v>44736</v>
      </c>
      <c r="C712">
        <v>5.1100000000000003</v>
      </c>
      <c r="D712">
        <v>18820650</v>
      </c>
      <c r="E712" s="838">
        <v>-46.210500000000003</v>
      </c>
      <c r="F712">
        <f t="shared" si="11"/>
        <v>18.820650000000001</v>
      </c>
    </row>
    <row r="713" spans="2:6">
      <c r="B713" s="837">
        <v>44735</v>
      </c>
      <c r="C713">
        <v>5.12</v>
      </c>
      <c r="D713">
        <v>3056734</v>
      </c>
      <c r="E713" s="838">
        <v>-46.1053</v>
      </c>
      <c r="F713">
        <f t="shared" si="11"/>
        <v>3.0567340000000001</v>
      </c>
    </row>
    <row r="714" spans="2:6">
      <c r="B714" s="837">
        <v>44734</v>
      </c>
      <c r="C714">
        <v>4.99</v>
      </c>
      <c r="D714">
        <v>4739430</v>
      </c>
      <c r="E714" s="838">
        <v>-47.473700000000001</v>
      </c>
      <c r="F714">
        <f t="shared" si="11"/>
        <v>4.7394299999999996</v>
      </c>
    </row>
    <row r="715" spans="2:6">
      <c r="B715" s="837">
        <v>44733</v>
      </c>
      <c r="C715">
        <v>5.14</v>
      </c>
      <c r="D715">
        <v>5844025</v>
      </c>
      <c r="E715" s="838">
        <v>-45.8947</v>
      </c>
      <c r="F715">
        <f t="shared" si="11"/>
        <v>5.8440250000000002</v>
      </c>
    </row>
    <row r="716" spans="2:6">
      <c r="B716" s="837">
        <v>44729</v>
      </c>
      <c r="C716">
        <v>5.04</v>
      </c>
      <c r="D716">
        <v>6562642</v>
      </c>
      <c r="E716" s="838">
        <v>-46.947400000000002</v>
      </c>
      <c r="F716">
        <f t="shared" si="11"/>
        <v>6.5626420000000003</v>
      </c>
    </row>
    <row r="717" spans="2:6">
      <c r="B717" s="837">
        <v>44728</v>
      </c>
      <c r="C717">
        <v>4.76</v>
      </c>
      <c r="D717">
        <v>5455988</v>
      </c>
      <c r="E717" s="838">
        <v>-49.8947</v>
      </c>
      <c r="F717">
        <f t="shared" si="11"/>
        <v>5.4559879999999996</v>
      </c>
    </row>
    <row r="718" spans="2:6">
      <c r="B718" s="837">
        <v>44727</v>
      </c>
      <c r="C718">
        <v>5</v>
      </c>
      <c r="D718">
        <v>6368093</v>
      </c>
      <c r="E718" s="838">
        <v>-47.368400000000001</v>
      </c>
      <c r="F718">
        <f t="shared" si="11"/>
        <v>6.368093</v>
      </c>
    </row>
    <row r="719" spans="2:6">
      <c r="B719" s="837">
        <v>44726</v>
      </c>
      <c r="C719">
        <v>4.6100000000000003</v>
      </c>
      <c r="D719">
        <v>3952008</v>
      </c>
      <c r="E719" s="838">
        <v>-51.473700000000001</v>
      </c>
      <c r="F719">
        <f t="shared" si="11"/>
        <v>3.9520080000000002</v>
      </c>
    </row>
    <row r="720" spans="2:6">
      <c r="B720" s="837">
        <v>44725</v>
      </c>
      <c r="C720">
        <v>4.5199999999999996</v>
      </c>
      <c r="D720">
        <v>5082665</v>
      </c>
      <c r="E720" s="838">
        <v>-52.421100000000003</v>
      </c>
      <c r="F720">
        <f t="shared" si="11"/>
        <v>5.0826650000000004</v>
      </c>
    </row>
    <row r="721" spans="2:6">
      <c r="B721" s="837">
        <v>44722</v>
      </c>
      <c r="C721">
        <v>4.91</v>
      </c>
      <c r="D721">
        <v>5191078</v>
      </c>
      <c r="E721" s="838">
        <v>-48.315800000000003</v>
      </c>
      <c r="F721">
        <f t="shared" si="11"/>
        <v>5.1910780000000001</v>
      </c>
    </row>
    <row r="722" spans="2:6">
      <c r="B722" s="837">
        <v>44721</v>
      </c>
      <c r="C722">
        <v>5.32</v>
      </c>
      <c r="D722">
        <v>4096944</v>
      </c>
      <c r="E722" s="838">
        <v>-44</v>
      </c>
      <c r="F722">
        <f t="shared" si="11"/>
        <v>4.0969439999999997</v>
      </c>
    </row>
    <row r="723" spans="2:6">
      <c r="B723" s="837">
        <v>44720</v>
      </c>
      <c r="C723">
        <v>5.84</v>
      </c>
      <c r="D723">
        <v>5453825</v>
      </c>
      <c r="E723" s="838">
        <v>-38.526299999999999</v>
      </c>
      <c r="F723">
        <f t="shared" si="11"/>
        <v>5.4538250000000001</v>
      </c>
    </row>
    <row r="724" spans="2:6">
      <c r="B724" s="837">
        <v>44719</v>
      </c>
      <c r="C724">
        <v>5.52</v>
      </c>
      <c r="D724">
        <v>5055354</v>
      </c>
      <c r="E724" s="838">
        <v>-41.8947</v>
      </c>
      <c r="F724">
        <f t="shared" si="11"/>
        <v>5.0553540000000003</v>
      </c>
    </row>
    <row r="725" spans="2:6">
      <c r="B725" s="837">
        <v>44718</v>
      </c>
      <c r="C725">
        <v>5.64</v>
      </c>
      <c r="D725">
        <v>5976712</v>
      </c>
      <c r="E725" s="838">
        <v>-40.631599999999999</v>
      </c>
      <c r="F725">
        <f t="shared" si="11"/>
        <v>5.976712</v>
      </c>
    </row>
    <row r="726" spans="2:6">
      <c r="B726" s="837">
        <v>44715</v>
      </c>
      <c r="C726">
        <v>5.53</v>
      </c>
      <c r="D726">
        <v>3319860</v>
      </c>
      <c r="E726" s="838">
        <v>-41.789499999999997</v>
      </c>
      <c r="F726">
        <f t="shared" si="11"/>
        <v>3.3198599999999998</v>
      </c>
    </row>
    <row r="727" spans="2:6">
      <c r="B727" s="837">
        <v>44714</v>
      </c>
      <c r="C727">
        <v>5.8</v>
      </c>
      <c r="D727">
        <v>4389408</v>
      </c>
      <c r="E727" s="838">
        <v>-38.947400000000002</v>
      </c>
      <c r="F727">
        <f t="shared" si="11"/>
        <v>4.3894080000000004</v>
      </c>
    </row>
    <row r="728" spans="2:6">
      <c r="B728" s="837">
        <v>44713</v>
      </c>
      <c r="C728">
        <v>5.29</v>
      </c>
      <c r="D728">
        <v>5081528</v>
      </c>
      <c r="E728" s="838">
        <v>-44.315800000000003</v>
      </c>
      <c r="F728">
        <f t="shared" si="11"/>
        <v>5.0815279999999996</v>
      </c>
    </row>
    <row r="729" spans="2:6">
      <c r="B729" s="837">
        <v>44712</v>
      </c>
      <c r="C729">
        <v>5.75</v>
      </c>
      <c r="D729">
        <v>7839657</v>
      </c>
      <c r="E729" s="838">
        <v>-39.473700000000001</v>
      </c>
      <c r="F729">
        <f t="shared" si="11"/>
        <v>7.8396569999999999</v>
      </c>
    </row>
    <row r="730" spans="2:6">
      <c r="B730" s="837">
        <v>44708</v>
      </c>
      <c r="C730">
        <v>5.93</v>
      </c>
      <c r="D730">
        <v>6495532</v>
      </c>
      <c r="E730" s="838">
        <v>-37.578899999999997</v>
      </c>
      <c r="F730">
        <f t="shared" si="11"/>
        <v>6.4955319999999999</v>
      </c>
    </row>
    <row r="731" spans="2:6">
      <c r="B731" s="837">
        <v>44707</v>
      </c>
      <c r="C731">
        <v>5.76</v>
      </c>
      <c r="D731">
        <v>5036531</v>
      </c>
      <c r="E731" s="838">
        <v>-39.368400000000001</v>
      </c>
      <c r="F731">
        <f t="shared" si="11"/>
        <v>5.0365310000000001</v>
      </c>
    </row>
    <row r="732" spans="2:6">
      <c r="B732" s="837">
        <v>44706</v>
      </c>
      <c r="C732">
        <v>5.72</v>
      </c>
      <c r="D732">
        <v>3486736</v>
      </c>
      <c r="E732" s="838">
        <v>-39.789499999999997</v>
      </c>
      <c r="F732">
        <f t="shared" si="11"/>
        <v>3.4867360000000001</v>
      </c>
    </row>
    <row r="733" spans="2:6">
      <c r="B733" s="837">
        <v>44705</v>
      </c>
      <c r="C733">
        <v>5.39</v>
      </c>
      <c r="D733">
        <v>3973240</v>
      </c>
      <c r="E733" s="838">
        <v>-43.263199999999998</v>
      </c>
      <c r="F733">
        <f t="shared" si="11"/>
        <v>3.9732400000000001</v>
      </c>
    </row>
    <row r="734" spans="2:6">
      <c r="B734" s="837">
        <v>44704</v>
      </c>
      <c r="C734">
        <v>5.76</v>
      </c>
      <c r="D734">
        <v>3717074</v>
      </c>
      <c r="E734" s="838">
        <v>-39.368400000000001</v>
      </c>
      <c r="F734">
        <f t="shared" si="11"/>
        <v>3.7170740000000002</v>
      </c>
    </row>
    <row r="735" spans="2:6">
      <c r="B735" s="837">
        <v>44701</v>
      </c>
      <c r="C735">
        <v>5.63</v>
      </c>
      <c r="D735">
        <v>5048387</v>
      </c>
      <c r="E735" s="838">
        <v>-40.736800000000002</v>
      </c>
      <c r="F735">
        <f t="shared" si="11"/>
        <v>5.048387</v>
      </c>
    </row>
    <row r="736" spans="2:6">
      <c r="B736" s="837">
        <v>44700</v>
      </c>
      <c r="C736">
        <v>5.83</v>
      </c>
      <c r="D736">
        <v>6715407</v>
      </c>
      <c r="E736" s="838">
        <v>-38.631599999999999</v>
      </c>
      <c r="F736">
        <f t="shared" si="11"/>
        <v>6.7154069999999999</v>
      </c>
    </row>
    <row r="737" spans="2:6">
      <c r="B737" s="837">
        <v>44699</v>
      </c>
      <c r="C737">
        <v>5.45</v>
      </c>
      <c r="D737">
        <v>8711868</v>
      </c>
      <c r="E737" s="838">
        <v>-42.631599999999999</v>
      </c>
      <c r="F737">
        <f t="shared" si="11"/>
        <v>8.7118680000000008</v>
      </c>
    </row>
    <row r="738" spans="2:6">
      <c r="B738" s="837">
        <v>44698</v>
      </c>
      <c r="C738">
        <v>5.71</v>
      </c>
      <c r="D738">
        <v>7037630</v>
      </c>
      <c r="E738" s="838">
        <v>-39.8947</v>
      </c>
      <c r="F738">
        <f t="shared" si="11"/>
        <v>7.0376300000000001</v>
      </c>
    </row>
    <row r="739" spans="2:6">
      <c r="B739" s="837">
        <v>44697</v>
      </c>
      <c r="C739">
        <v>4.8600000000000003</v>
      </c>
      <c r="D739">
        <v>6070002</v>
      </c>
      <c r="E739" s="838">
        <v>-48.842100000000002</v>
      </c>
      <c r="F739">
        <f t="shared" si="11"/>
        <v>6.0700019999999997</v>
      </c>
    </row>
    <row r="740" spans="2:6">
      <c r="B740" s="837">
        <v>44694</v>
      </c>
      <c r="C740">
        <v>5.2</v>
      </c>
      <c r="D740">
        <v>6825042</v>
      </c>
      <c r="E740" s="838">
        <v>-45.263199999999998</v>
      </c>
      <c r="F740">
        <f t="shared" si="11"/>
        <v>6.8250419999999998</v>
      </c>
    </row>
    <row r="741" spans="2:6">
      <c r="B741" s="837">
        <v>44693</v>
      </c>
      <c r="C741">
        <v>4.76</v>
      </c>
      <c r="D741">
        <v>7427958</v>
      </c>
      <c r="E741" s="838">
        <v>-49.8947</v>
      </c>
      <c r="F741">
        <f t="shared" si="11"/>
        <v>7.4279580000000003</v>
      </c>
    </row>
    <row r="742" spans="2:6">
      <c r="B742" s="837">
        <v>44692</v>
      </c>
      <c r="C742">
        <v>4.34</v>
      </c>
      <c r="D742">
        <v>7444398</v>
      </c>
      <c r="E742" s="838">
        <v>-54.315800000000003</v>
      </c>
      <c r="F742">
        <f t="shared" si="11"/>
        <v>7.4443979999999996</v>
      </c>
    </row>
    <row r="743" spans="2:6">
      <c r="B743" s="837">
        <v>44691</v>
      </c>
      <c r="C743">
        <v>4.88</v>
      </c>
      <c r="D743">
        <v>7071821</v>
      </c>
      <c r="E743" s="838">
        <v>-48.631599999999999</v>
      </c>
      <c r="F743">
        <f t="shared" si="11"/>
        <v>7.0718209999999999</v>
      </c>
    </row>
    <row r="744" spans="2:6">
      <c r="B744" s="837">
        <v>44690</v>
      </c>
      <c r="C744">
        <v>5.08</v>
      </c>
      <c r="D744">
        <v>8236847</v>
      </c>
      <c r="E744" s="838">
        <v>-46.526299999999999</v>
      </c>
      <c r="F744">
        <f t="shared" si="11"/>
        <v>8.2368469999999991</v>
      </c>
    </row>
    <row r="745" spans="2:6">
      <c r="B745" s="837">
        <v>44687</v>
      </c>
      <c r="C745">
        <v>5.92</v>
      </c>
      <c r="D745">
        <v>7052616</v>
      </c>
      <c r="E745" s="838">
        <v>-37.684199999999997</v>
      </c>
      <c r="F745">
        <f t="shared" si="11"/>
        <v>7.0526160000000004</v>
      </c>
    </row>
    <row r="746" spans="2:6">
      <c r="B746" s="837">
        <v>44686</v>
      </c>
      <c r="C746">
        <v>6.23</v>
      </c>
      <c r="D746">
        <v>8710878</v>
      </c>
      <c r="E746" s="838">
        <v>-34.421100000000003</v>
      </c>
      <c r="F746">
        <f t="shared" si="11"/>
        <v>8.7108779999999992</v>
      </c>
    </row>
    <row r="747" spans="2:6">
      <c r="B747" s="837">
        <v>44685</v>
      </c>
      <c r="C747">
        <v>7.5</v>
      </c>
      <c r="D747">
        <v>13141857</v>
      </c>
      <c r="E747" s="838">
        <v>-21.052600000000002</v>
      </c>
      <c r="F747">
        <f t="shared" si="11"/>
        <v>13.141857</v>
      </c>
    </row>
    <row r="748" spans="2:6">
      <c r="B748" s="837">
        <v>44684</v>
      </c>
      <c r="C748">
        <v>7.15</v>
      </c>
      <c r="D748">
        <v>17095988</v>
      </c>
      <c r="E748" s="838">
        <v>-24.736799999999999</v>
      </c>
      <c r="F748">
        <f t="shared" si="11"/>
        <v>17.095987999999998</v>
      </c>
    </row>
    <row r="749" spans="2:6">
      <c r="B749" s="837">
        <v>44683</v>
      </c>
      <c r="C749">
        <v>7.86</v>
      </c>
      <c r="D749">
        <v>6120202</v>
      </c>
      <c r="E749" s="838">
        <v>-17.263200000000001</v>
      </c>
      <c r="F749">
        <f t="shared" si="11"/>
        <v>6.1202019999999999</v>
      </c>
    </row>
    <row r="750" spans="2:6">
      <c r="B750" s="837">
        <v>44680</v>
      </c>
      <c r="C750">
        <v>7.87</v>
      </c>
      <c r="D750">
        <v>4241178</v>
      </c>
      <c r="E750" s="838">
        <v>-17.157900000000001</v>
      </c>
      <c r="F750">
        <f t="shared" si="11"/>
        <v>4.2411779999999997</v>
      </c>
    </row>
    <row r="751" spans="2:6">
      <c r="B751" s="837">
        <v>44679</v>
      </c>
      <c r="C751">
        <v>8.31</v>
      </c>
      <c r="D751">
        <v>5377462</v>
      </c>
      <c r="E751" s="838">
        <v>-12.526300000000001</v>
      </c>
      <c r="F751">
        <f t="shared" si="11"/>
        <v>5.3774620000000004</v>
      </c>
    </row>
    <row r="752" spans="2:6">
      <c r="B752" s="837">
        <v>44678</v>
      </c>
      <c r="C752">
        <v>8.1999999999999993</v>
      </c>
      <c r="D752">
        <v>4767750</v>
      </c>
      <c r="E752" s="838">
        <v>-13.684200000000001</v>
      </c>
      <c r="F752">
        <f t="shared" si="11"/>
        <v>4.7677500000000004</v>
      </c>
    </row>
    <row r="753" spans="2:6">
      <c r="B753" s="837">
        <v>44677</v>
      </c>
      <c r="C753">
        <v>8.1</v>
      </c>
      <c r="D753">
        <v>7299988</v>
      </c>
      <c r="E753" s="838">
        <v>-14.736800000000001</v>
      </c>
      <c r="F753">
        <f t="shared" si="11"/>
        <v>7.2999879999999999</v>
      </c>
    </row>
    <row r="754" spans="2:6">
      <c r="B754" s="837">
        <v>44676</v>
      </c>
      <c r="C754">
        <v>9.14</v>
      </c>
      <c r="D754">
        <v>5347930</v>
      </c>
      <c r="E754" s="838">
        <v>-3.7894999999999999</v>
      </c>
      <c r="F754">
        <f t="shared" si="11"/>
        <v>5.3479299999999999</v>
      </c>
    </row>
    <row r="755" spans="2:6">
      <c r="B755" s="837">
        <v>44673</v>
      </c>
      <c r="C755">
        <v>9.18</v>
      </c>
      <c r="D755">
        <v>6286916</v>
      </c>
      <c r="E755" s="838">
        <v>-3.3683999999999998</v>
      </c>
      <c r="F755">
        <f t="shared" si="11"/>
        <v>6.2869159999999997</v>
      </c>
    </row>
    <row r="756" spans="2:6">
      <c r="B756" s="837">
        <v>44672</v>
      </c>
      <c r="C756">
        <v>9.5</v>
      </c>
      <c r="D756">
        <v>5955326</v>
      </c>
      <c r="E756" s="838">
        <v>0</v>
      </c>
      <c r="F756">
        <f t="shared" si="11"/>
        <v>5.9553260000000003</v>
      </c>
    </row>
    <row r="757" spans="2:6">
      <c r="B757" s="837">
        <v>44671</v>
      </c>
      <c r="C757">
        <v>9.8000000000000007</v>
      </c>
      <c r="D757">
        <v>17009100</v>
      </c>
      <c r="F757">
        <f t="shared" si="11"/>
        <v>17.0091</v>
      </c>
    </row>
    <row r="758" spans="2:6">
      <c r="B758" s="837">
        <v>44670</v>
      </c>
      <c r="C758">
        <v>10.92</v>
      </c>
      <c r="D758">
        <v>3792727</v>
      </c>
      <c r="F758">
        <f t="shared" si="11"/>
        <v>3.7927270000000002</v>
      </c>
    </row>
    <row r="759" spans="2:6">
      <c r="B759" s="837">
        <v>44669</v>
      </c>
      <c r="C759">
        <v>10.6</v>
      </c>
      <c r="D759">
        <v>4208947</v>
      </c>
      <c r="F759">
        <f t="shared" si="11"/>
        <v>4.2089470000000002</v>
      </c>
    </row>
    <row r="760" spans="2:6">
      <c r="B760" s="837">
        <v>44665</v>
      </c>
      <c r="C760">
        <v>10.66</v>
      </c>
      <c r="D760">
        <v>3464991</v>
      </c>
      <c r="F760">
        <f t="shared" si="11"/>
        <v>3.4649909999999999</v>
      </c>
    </row>
    <row r="761" spans="2:6">
      <c r="B761" s="837">
        <v>44664</v>
      </c>
      <c r="C761">
        <v>11.37</v>
      </c>
      <c r="D761">
        <v>3344989</v>
      </c>
      <c r="F761">
        <f t="shared" si="11"/>
        <v>3.344989</v>
      </c>
    </row>
    <row r="762" spans="2:6">
      <c r="B762" s="837">
        <v>44663</v>
      </c>
      <c r="C762">
        <v>10.99</v>
      </c>
      <c r="D762">
        <v>3297965</v>
      </c>
      <c r="F762">
        <f t="shared" si="11"/>
        <v>3.297965</v>
      </c>
    </row>
    <row r="763" spans="2:6">
      <c r="B763" s="837">
        <v>44662</v>
      </c>
      <c r="C763">
        <v>10.79</v>
      </c>
      <c r="D763">
        <v>6097851</v>
      </c>
      <c r="F763">
        <f t="shared" si="11"/>
        <v>6.0978510000000004</v>
      </c>
    </row>
    <row r="764" spans="2:6">
      <c r="B764" s="837">
        <v>44659</v>
      </c>
      <c r="C764">
        <v>12.32</v>
      </c>
      <c r="D764">
        <v>1376387</v>
      </c>
      <c r="F764">
        <f t="shared" si="11"/>
        <v>1.376387</v>
      </c>
    </row>
    <row r="765" spans="2:6">
      <c r="B765" s="837">
        <v>44658</v>
      </c>
      <c r="C765">
        <v>12.44</v>
      </c>
      <c r="D765">
        <v>1941620</v>
      </c>
      <c r="F765">
        <f t="shared" si="11"/>
        <v>1.9416199999999999</v>
      </c>
    </row>
    <row r="766" spans="2:6">
      <c r="B766" s="837">
        <v>44657</v>
      </c>
      <c r="C766">
        <v>12.3</v>
      </c>
      <c r="D766">
        <v>3262795</v>
      </c>
      <c r="F766">
        <f t="shared" si="11"/>
        <v>3.2627950000000001</v>
      </c>
    </row>
    <row r="767" spans="2:6">
      <c r="B767" s="837">
        <v>44656</v>
      </c>
      <c r="C767">
        <v>12.53</v>
      </c>
      <c r="D767">
        <v>3675232</v>
      </c>
      <c r="F767">
        <f t="shared" si="11"/>
        <v>3.6752319999999998</v>
      </c>
    </row>
    <row r="768" spans="2:6">
      <c r="B768" s="837">
        <v>44655</v>
      </c>
      <c r="C768">
        <v>13.58</v>
      </c>
      <c r="D768">
        <v>3028075</v>
      </c>
      <c r="F768">
        <f t="shared" si="11"/>
        <v>3.0280749999999999</v>
      </c>
    </row>
    <row r="769" spans="2:6">
      <c r="B769" s="837">
        <v>44652</v>
      </c>
      <c r="C769">
        <v>13</v>
      </c>
      <c r="D769">
        <v>2982450</v>
      </c>
      <c r="F769">
        <f t="shared" si="11"/>
        <v>2.98245</v>
      </c>
    </row>
    <row r="770" spans="2:6">
      <c r="B770" s="837">
        <v>44651</v>
      </c>
      <c r="C770">
        <v>12.76</v>
      </c>
      <c r="D770">
        <v>4205261</v>
      </c>
      <c r="F770">
        <f t="shared" si="11"/>
        <v>4.2052610000000001</v>
      </c>
    </row>
    <row r="771" spans="2:6">
      <c r="B771" s="837">
        <v>44650</v>
      </c>
      <c r="C771">
        <v>12.37</v>
      </c>
      <c r="D771">
        <v>6765308</v>
      </c>
      <c r="F771">
        <f t="shared" si="11"/>
        <v>6.7653080000000001</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4DAD-4DB1-4F8F-9CB0-5305CBDF82E0}">
  <dimension ref="B2"/>
  <sheetViews>
    <sheetView showGridLines="0" workbookViewId="0"/>
  </sheetViews>
  <sheetFormatPr defaultColWidth="11" defaultRowHeight="14.25"/>
  <cols>
    <col min="2" max="2" width="11.875" bestFit="1" customWidth="1"/>
  </cols>
  <sheetData>
    <row r="2" spans="2:2" s="30" customFormat="1" ht="20.25" customHeight="1">
      <c r="B2" s="839" t="s">
        <v>862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79CB92-5331-4E6D-BCCA-3ED810C77402}"/>
</file>

<file path=customXml/itemProps2.xml><?xml version="1.0" encoding="utf-8"?>
<ds:datastoreItem xmlns:ds="http://schemas.openxmlformats.org/officeDocument/2006/customXml" ds:itemID="{64BB988D-8D01-4A93-B497-E21446BB3F17}"/>
</file>

<file path=customXml/itemProps3.xml><?xml version="1.0" encoding="utf-8"?>
<ds:datastoreItem xmlns:ds="http://schemas.openxmlformats.org/officeDocument/2006/customXml" ds:itemID="{A04E3618-D491-4F6F-BB80-95ED90E277FA}"/>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João Pedro Carocinho Morgado Baioa</cp:lastModifiedBy>
  <cp:revision/>
  <dcterms:created xsi:type="dcterms:W3CDTF">2025-02-25T16:23:47Z</dcterms:created>
  <dcterms:modified xsi:type="dcterms:W3CDTF">2025-09-12T19:48:01Z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